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480" windowHeight="1203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<sst xmlns="http://schemas.openxmlformats.org/spreadsheetml/2006/main" count="3663" uniqueCount="2966">
  <si>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</si>
  <si>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</si>
  <si>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</si>
  <si>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</si>
  <si>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</si>
  <si>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</si>
  <si>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</si>
  <si>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</si>
  <si>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</si>
  <si>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</si>
  <si>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</si>
  <si>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</si>
  <si>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</si>
  <si>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</si>
  <si>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</si>
  <si>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</si>
  <si>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</si>
  <si>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</si>
  <si>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</si>
  <si>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</si>
  <si>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</si>
  <si>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</si>
  <si>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</si>
  <si>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</si>
  <si>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</si>
  <si>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</si>
  <si>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</si>
  <si>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</si>
  <si>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</si>
  <si>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</si>
  <si>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</si>
  <si>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</si>
  <si>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</si>
  <si>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</si>
  <si>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</si>
  <si>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</si>
  <si>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</si>
  <si>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</si>
  <si>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</si>
  <si>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</si>
  <si>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</si>
  <si>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</si>
  <si>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</si>
  <si>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</si>
  <si>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</si>
  <si>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</si>
  <si>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</si>
  <si>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</si>
  <si>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</si>
  <si>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</si>
  <si>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</si>
  <si>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</si>
  <si>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</si>
  <si>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</si>
  <si>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</si>
  <si>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</si>
  <si>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</si>
  <si>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</si>
  <si>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</si>
  <si>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</si>
  <si>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</si>
  <si>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</si>
  <si>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</si>
  <si>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</si>
  <si>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</si>
  <si>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</si>
  <si>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</si>
  <si>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</si>
  <si>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</si>
  <si>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</si>
  <si>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</si>
  <si>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</si>
  <si>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</si>
  <si>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</si>
  <si>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</si>
  <si>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</si>
  <si>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</si>
  <si>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</si>
  <si>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</si>
  <si>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</si>
  <si>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</si>
  <si>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</si>
  <si>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</si>
  <si>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</si>
  <si>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</si>
  <si>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</si>
  <si>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</si>
  <si>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</si>
  <si>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</si>
  <si>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</si>
  <si>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</si>
  <si>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</si>
  <si>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</si>
  <si>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</si>
  <si>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</si>
  <si>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</si>
  <si>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</si>
  <si>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</si>
  <si>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</si>
  <si>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</si>
  <si>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</si>
  <si>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</si>
  <si>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</si>
  <si>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</si>
  <si>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</si>
  <si>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</si>
  <si>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</si>
  <si>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</si>
  <si>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</si>
  <si>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</si>
  <si>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</si>
  <si>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</si>
  <si>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</si>
  <si>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</si>
  <si>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</si>
  <si>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</si>
  <si>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</si>
  <si>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</si>
  <si>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</si>
  <si>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</si>
  <si>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</si>
  <si>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</si>
  <si>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</si>
  <si>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</si>
  <si>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</si>
  <si>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</si>
  <si>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</si>
  <si>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</si>
  <si>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</si>
  <si>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</si>
  <si>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</si>
  <si>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</si>
  <si>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</si>
  <si>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</si>
  <si>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</si>
  <si>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</si>
  <si>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</si>
  <si>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</si>
  <si>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</si>
  <si>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</si>
  <si>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</si>
  <si>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</si>
  <si>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</si>
  <si>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</si>
  <si>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</si>
  <si>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</si>
  <si>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</si>
  <si>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</si>
  <si>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</si>
  <si>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</si>
  <si>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</si>
  <si>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</si>
  <si>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</si>
  <si>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</si>
  <si>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</si>
  <si>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</si>
  <si>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</si>
  <si>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</si>
  <si>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</si>
  <si>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</si>
  <si>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</si>
  <si>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</si>
  <si>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</si>
  <si>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</si>
  <si>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</si>
  <si>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</si>
  <si>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</si>
  <si>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</si>
  <si>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</si>
  <si>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</si>
  <si>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</si>
  <si>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</si>
  <si>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</si>
  <si>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</si>
  <si>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</si>
  <si>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</si>
  <si>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</si>
  <si>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</si>
  <si>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</si>
  <si>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</si>
  <si>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</si>
  <si>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</si>
  <si>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</si>
  <si>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</si>
  <si>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</si>
  <si>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</si>
  <si>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</si>
  <si>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</si>
  <si>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</si>
  <si>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</si>
  <si>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</si>
  <si>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</si>
  <si>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</si>
  <si>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</si>
  <si>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</si>
  <si>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</si>
  <si>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</si>
  <si>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</si>
  <si>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</si>
  <si>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</si>
  <si>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</si>
  <si>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</si>
  <si>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</si>
  <si>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</si>
  <si>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</si>
  <si>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</si>
  <si>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</si>
  <si>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</si>
  <si>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</si>
  <si>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</si>
  <si>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</si>
  <si>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</si>
  <si>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</si>
  <si>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</si>
  <si>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</si>
  <si>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</si>
  <si>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</si>
  <si>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</si>
  <si>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</si>
  <si>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</si>
  <si>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</si>
  <si>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</si>
  <si>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</si>
  <si>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</si>
  <si>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</si>
  <si>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</si>
  <si>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</si>
  <si>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</si>
  <si>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</si>
  <si>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</si>
  <si>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</si>
  <si>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</si>
  <si>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</si>
  <si>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</si>
  <si>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</si>
  <si>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</si>
  <si>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</si>
  <si>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</si>
  <si>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</si>
  <si>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</si>
  <si>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</si>
  <si>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</si>
  <si>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</si>
  <si>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</si>
  <si>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</si>
  <si>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</si>
  <si>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</si>
  <si>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</si>
  <si>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</si>
  <si>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</si>
  <si>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</si>
  <si>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</si>
  <si>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</si>
  <si>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</si>
  <si>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</si>
  <si>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</si>
  <si>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</si>
  <si>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</si>
  <si>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</si>
  <si>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</si>
  <si>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</si>
  <si>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</si>
  <si>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</si>
  <si>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</si>
  <si>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</si>
  <si>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</si>
  <si>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</si>
  <si>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</si>
  <si>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</si>
  <si>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</si>
  <si>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</si>
  <si>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</si>
  <si>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</si>
  <si>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</si>
  <si>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</si>
  <si>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</si>
  <si>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</si>
  <si>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</si>
  <si>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</si>
  <si>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</si>
  <si>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</si>
  <si>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</si>
  <si>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</si>
  <si>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</si>
  <si>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</si>
  <si>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</si>
  <si>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</si>
  <si>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</si>
  <si>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</si>
  <si>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</si>
  <si>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</si>
  <si>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</si>
  <si>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</si>
  <si>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</si>
  <si>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</si>
  <si>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</si>
  <si>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</si>
  <si>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</si>
  <si>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</si>
  <si>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</si>
  <si>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</si>
  <si>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</si>
  <si>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</si>
  <si>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</si>
  <si>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</si>
  <si>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</si>
  <si>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</si>
  <si>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</si>
  <si>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</si>
  <si>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</si>
  <si>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</si>
  <si>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</si>
  <si>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</si>
  <si>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</si>
  <si>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</si>
  <si>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</si>
  <si>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</si>
  <si>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</si>
  <si>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</si>
  <si>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</si>
  <si>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</si>
  <si>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</si>
  <si>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</si>
  <si>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</si>
  <si>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</si>
  <si>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</si>
  <si>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</si>
  <si>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</si>
  <si>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</si>
  <si>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</si>
  <si>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</si>
  <si>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</si>
  <si>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</si>
  <si>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</si>
  <si>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</si>
  <si>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</si>
  <si>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</si>
  <si>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</si>
  <si>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</si>
  <si>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</si>
  <si>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</si>
  <si>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</si>
  <si>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</si>
  <si>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</si>
  <si>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</si>
  <si>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</si>
  <si>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</si>
  <si>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</si>
  <si>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</si>
  <si>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</si>
  <si>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</si>
  <si>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</si>
  <si>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</si>
  <si>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</si>
  <si>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</si>
  <si>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</si>
  <si>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</si>
  <si>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</si>
  <si>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</si>
  <si>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</si>
  <si>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</si>
  <si>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</si>
  <si>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</si>
  <si>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</si>
  <si>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</si>
  <si>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</si>
  <si>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</si>
  <si>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</si>
  <si>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</si>
  <si>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</si>
  <si>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</si>
  <si>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</si>
  <si>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</si>
  <si>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</si>
  <si>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</si>
  <si>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</si>
  <si>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</si>
  <si>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</si>
  <si>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</si>
  <si>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</si>
  <si>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</si>
  <si>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</si>
  <si>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</si>
  <si>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</si>
  <si>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</si>
  <si>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</si>
  <si>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</si>
  <si>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</si>
  <si>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</si>
  <si>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</si>
  <si>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</si>
  <si>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</si>
  <si>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</si>
  <si>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</si>
  <si>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</si>
  <si>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</si>
  <si>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</si>
  <si>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</si>
  <si>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</si>
  <si>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</si>
  <si>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</si>
  <si>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</si>
  <si>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</si>
  <si>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</si>
  <si>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</si>
  <si>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</si>
  <si>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</si>
  <si>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</si>
  <si>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</si>
  <si>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</si>
  <si>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</si>
  <si>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</si>
  <si>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</si>
  <si>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</si>
  <si>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</si>
  <si>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</si>
  <si>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</si>
  <si>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</si>
  <si>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</si>
  <si>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</si>
  <si>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</si>
  <si>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</si>
  <si>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</si>
  <si>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</si>
  <si>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</si>
  <si>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</si>
  <si>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</si>
  <si>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</si>
  <si>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</si>
  <si>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</si>
  <si>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</si>
  <si>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</si>
  <si>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</si>
  <si>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</si>
  <si>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</si>
  <si>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</si>
  <si>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</si>
  <si>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</si>
  <si>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</si>
  <si>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</si>
  <si>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</si>
  <si>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</si>
  <si>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</si>
  <si>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</si>
  <si>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</si>
  <si>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</si>
  <si>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</si>
  <si>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</si>
  <si>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</si>
  <si>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</si>
  <si>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</si>
  <si>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</si>
  <si>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</si>
  <si>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</si>
  <si>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</si>
  <si>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</si>
  <si>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</si>
  <si>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</si>
  <si>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</si>
  <si>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</si>
  <si>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</si>
  <si>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</si>
  <si>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</si>
  <si>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</si>
  <si>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</si>
  <si>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</si>
  <si>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</si>
  <si>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</si>
  <si>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</si>
  <si>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</si>
  <si>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</si>
  <si>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</si>
  <si>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</si>
  <si>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</si>
  <si>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</si>
  <si>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</si>
  <si>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</si>
  <si>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</si>
  <si>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</si>
  <si>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</si>
  <si>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</si>
  <si>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</si>
  <si>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</si>
  <si>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</si>
  <si>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</si>
  <si>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</si>
  <si>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</si>
  <si>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</si>
  <si>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</si>
  <si>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</si>
  <si>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</si>
  <si>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</si>
  <si>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</si>
  <si>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</si>
  <si>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</si>
  <si>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</si>
  <si>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</si>
  <si>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</si>
  <si>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</si>
  <si>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</si>
  <si>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</si>
  <si>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</si>
  <si>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</si>
  <si>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</si>
  <si>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</si>
  <si>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</si>
  <si>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</si>
  <si>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</si>
  <si>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</si>
  <si>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</si>
  <si>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</si>
  <si>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</si>
  <si>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</si>
  <si>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</si>
  <si>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</si>
  <si>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</si>
  <si>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</si>
  <si>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</si>
  <si>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</si>
  <si>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</si>
  <si>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</si>
  <si>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</si>
  <si>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</si>
  <si>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</si>
  <si>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</si>
  <si>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</si>
  <si>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</si>
  <si>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</si>
  <si>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</si>
  <si>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</si>
  <si>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</si>
  <si>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</si>
  <si>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</si>
  <si>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</si>
  <si>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</si>
  <si>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</si>
  <si>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</si>
  <si>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</si>
  <si>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</si>
  <si>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</si>
  <si>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</si>
  <si>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</si>
  <si>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</si>
  <si>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</si>
  <si>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</si>
  <si>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</si>
  <si>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</si>
  <si>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</si>
  <si>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</si>
  <si>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</si>
  <si>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</si>
  <si>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</si>
  <si>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</si>
  <si>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</si>
  <si>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</si>
  <si>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</si>
  <si>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</si>
  <si>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</si>
  <si>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</si>
  <si>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</si>
  <si>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</si>
  <si>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</si>
  <si>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</si>
  <si>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</si>
  <si>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</si>
  <si>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</si>
  <si>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</si>
  <si>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</si>
  <si>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</si>
  <si>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</si>
  <si>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</si>
  <si>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</si>
  <si>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</si>
  <si>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</si>
  <si>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</si>
  <si>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</si>
  <si>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</si>
  <si>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</si>
  <si>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</si>
  <si>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</si>
  <si>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</si>
  <si>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</si>
  <si>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</si>
  <si>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</si>
  <si>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</si>
  <si>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</si>
  <si>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</si>
  <si>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</si>
  <si>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</si>
  <si>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</si>
  <si>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</si>
  <si>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</si>
  <si>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</si>
  <si>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</si>
  <si>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</si>
  <si>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</si>
  <si>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</si>
  <si>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</si>
  <si>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</si>
  <si>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</si>
  <si>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</si>
  <si>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</si>
  <si>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</si>
  <si>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</si>
  <si>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</si>
  <si>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</si>
  <si>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</si>
  <si>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</si>
  <si>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</si>
  <si>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</si>
  <si>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</si>
  <si>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</si>
  <si>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</si>
  <si>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</si>
  <si>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</si>
  <si>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</si>
  <si>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</si>
  <si>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</si>
  <si>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</si>
  <si>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</si>
  <si>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</si>
  <si>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</si>
  <si>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</si>
  <si>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</si>
  <si>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</si>
  <si>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</si>
  <si>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</si>
  <si>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</si>
  <si>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</si>
  <si>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</si>
  <si>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</si>
  <si>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</si>
  <si>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</si>
  <si>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</si>
  <si>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</si>
  <si>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</si>
  <si>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</si>
  <si>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</si>
  <si>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</si>
  <si>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</si>
  <si>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</si>
  <si>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</si>
  <si>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</si>
  <si>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</si>
  <si>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</si>
  <si>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</si>
  <si>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</si>
  <si>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</si>
  <si>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</si>
  <si>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</si>
  <si>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</si>
  <si>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</si>
  <si>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</si>
  <si>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</si>
  <si>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</si>
  <si>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</si>
  <si>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</si>
  <si>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</si>
  <si>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</si>
  <si>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</si>
  <si>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</si>
  <si>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</si>
  <si>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</si>
  <si>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</si>
  <si>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</si>
  <si>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</si>
  <si>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</si>
  <si>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</si>
  <si>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</si>
  <si>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</si>
  <si>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</si>
  <si>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</si>
  <si>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</si>
  <si>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</si>
  <si>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</si>
  <si>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</si>
  <si>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</si>
  <si>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</si>
  <si>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</si>
  <si>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</si>
  <si>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</si>
  <si>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</si>
  <si>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</si>
  <si>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</si>
  <si>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</si>
  <si>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</si>
  <si>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</si>
  <si>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</si>
  <si>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</si>
  <si>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</si>
  <si>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</si>
  <si>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</si>
  <si>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</si>
  <si>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</si>
  <si>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</si>
  <si>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</si>
  <si>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</si>
  <si>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</si>
  <si>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</si>
  <si>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</si>
  <si>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</si>
  <si>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</si>
  <si>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</si>
  <si>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</si>
  <si>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</si>
  <si>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</si>
  <si>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</si>
  <si>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</si>
  <si>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</si>
  <si>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</si>
  <si>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</si>
  <si>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</si>
  <si>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</si>
  <si>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</si>
  <si>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</si>
  <si>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</si>
  <si>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</si>
  <si>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</si>
  <si>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</si>
  <si>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</si>
  <si>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</si>
  <si>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</si>
  <si>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</si>
  <si>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</si>
  <si>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</si>
  <si>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</si>
  <si>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</si>
  <si>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</si>
  <si>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</si>
  <si>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</si>
  <si>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</si>
  <si>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</si>
  <si>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</si>
  <si>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</si>
  <si>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</si>
  <si>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</si>
  <si>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</si>
  <si>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</si>
  <si>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</si>
  <si>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</si>
  <si>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</si>
  <si>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</si>
  <si>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</si>
  <si>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</si>
  <si>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</si>
  <si>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</si>
  <si>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</si>
  <si>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</si>
  <si>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</si>
  <si>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</si>
  <si>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</si>
  <si>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</si>
  <si>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</si>
  <si>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</si>
  <si>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</si>
  <si>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</si>
  <si>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</si>
  <si>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</si>
  <si>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</si>
  <si>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</si>
  <si>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</si>
  <si>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</si>
  <si>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</si>
  <si>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</si>
  <si>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</si>
  <si>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</si>
  <si>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</si>
  <si>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</si>
  <si>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</si>
  <si>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</si>
  <si>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</si>
  <si>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</si>
  <si>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</si>
  <si>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</si>
  <si>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</si>
  <si>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</si>
  <si>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</si>
  <si>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</si>
  <si>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</si>
  <si>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</si>
  <si>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</si>
  <si>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</si>
  <si>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</si>
  <si>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</si>
  <si>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</si>
  <si>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</si>
  <si>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</si>
  <si>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</si>
  <si>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</si>
  <si>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</si>
  <si>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</si>
  <si>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</si>
  <si>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</si>
  <si>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</si>
  <si>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</si>
  <si>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</si>
  <si>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</si>
  <si>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</si>
  <si>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</si>
  <si>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</si>
  <si>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</si>
  <si>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</si>
  <si>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</si>
  <si>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</si>
  <si>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</si>
  <si>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</si>
  <si>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</si>
  <si>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</si>
  <si>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</si>
  <si>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</si>
  <si>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</si>
  <si>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</si>
  <si>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</si>
  <si>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</si>
  <si>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</si>
  <si>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</si>
  <si>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</si>
  <si>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</si>
  <si>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</si>
  <si>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</si>
  <si>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</si>
  <si>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</si>
  <si>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</si>
  <si>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</si>
  <si>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</si>
  <si>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</si>
  <si>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</si>
  <si>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</si>
  <si>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</si>
  <si>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</si>
  <si>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</si>
  <si>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</si>
  <si>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</si>
  <si>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</si>
  <si>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</si>
  <si>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</si>
  <si>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</si>
  <si>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</si>
  <si>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</si>
  <si>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</si>
  <si>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</si>
  <si>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</si>
  <si>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</si>
  <si>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</si>
  <si>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</si>
  <si>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</si>
  <si>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</si>
  <si>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</si>
  <si>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</si>
  <si>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</si>
  <si>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</si>
  <si>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</si>
  <si>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</si>
  <si>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</si>
  <si>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</si>
  <si>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</si>
  <si>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</si>
  <si>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</si>
  <si>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</si>
  <si>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</si>
  <si>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</si>
  <si>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</si>
  <si>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</si>
  <si>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</si>
  <si>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</si>
  <si>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</si>
  <si>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</si>
  <si>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</si>
  <si>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</si>
  <si>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</si>
  <si>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</si>
  <si>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</si>
  <si>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</si>
  <si>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</si>
  <si>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</si>
  <si>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</si>
  <si>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</si>
  <si>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</si>
  <si>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</si>
  <si>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</si>
  <si>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</si>
  <si>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</si>
  <si>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</si>
  <si>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</si>
  <si>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</si>
  <si>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</si>
  <si>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</si>
  <si>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</si>
  <si>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</si>
  <si>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</si>
  <si>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</si>
  <si>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</si>
  <si>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</si>
  <si>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</si>
  <si>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</si>
  <si>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</si>
  <si>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</si>
  <si>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</si>
  <si>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</si>
  <si>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</si>
  <si>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</si>
  <si>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</si>
  <si>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</si>
  <si>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</si>
  <si>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</si>
  <si>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</si>
  <si>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</si>
  <si>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</si>
  <si>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</si>
  <si>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</si>
  <si>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</si>
  <si>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</si>
  <si>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</si>
  <si>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</si>
  <si>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</si>
  <si>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</si>
  <si>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</si>
  <si>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</si>
  <si>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</si>
  <si>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</si>
  <si>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</si>
  <si>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</si>
  <si>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</si>
  <si>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</si>
  <si>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</si>
  <si>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</si>
  <si>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</si>
  <si>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</si>
  <si>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</si>
  <si>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</si>
  <si>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</si>
  <si>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</si>
  <si>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</si>
  <si>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</si>
  <si>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</si>
  <si>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</si>
  <si>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</si>
  <si>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</si>
  <si>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</si>
  <si>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</si>
  <si>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</si>
  <si>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</si>
  <si>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</si>
  <si>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</si>
  <si>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</si>
  <si>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</si>
  <si>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</si>
  <si>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</si>
  <si>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</si>
  <si>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</si>
  <si>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</si>
  <si>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</si>
  <si>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</si>
  <si>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</si>
  <si>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</si>
  <si>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</si>
  <si>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</si>
  <si>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</si>
  <si>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</si>
  <si>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</si>
  <si>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</si>
  <si>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</si>
  <si>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</si>
  <si>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</si>
  <si>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</si>
  <si>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</si>
  <si>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</si>
  <si>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</si>
  <si>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</si>
  <si>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</si>
  <si>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</si>
  <si>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</si>
  <si>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</si>
  <si>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</si>
  <si>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</si>
  <si>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</si>
  <si>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</si>
  <si>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</si>
  <si>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</si>
  <si>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</si>
  <si>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</si>
  <si>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</si>
  <si>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</si>
  <si>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</si>
  <si>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</si>
  <si>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</si>
  <si>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</si>
  <si>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</si>
  <si>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</si>
  <si>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</si>
  <si>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</si>
  <si>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</si>
  <si>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</si>
  <si>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</si>
  <si>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</si>
  <si>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</si>
  <si>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</si>
  <si>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</si>
  <si>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</si>
  <si>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</si>
  <si>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</si>
  <si>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</si>
  <si>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</si>
  <si>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</si>
  <si>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</si>
  <si>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</si>
  <si>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</si>
  <si>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</si>
  <si>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</si>
  <si>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</si>
  <si>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</si>
  <si>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</si>
  <si>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</si>
  <si>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</si>
  <si>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</si>
  <si>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</si>
  <si>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</si>
  <si>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</si>
  <si>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</si>
  <si>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</si>
  <si>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</si>
  <si>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</si>
  <si>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</si>
  <si>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</si>
  <si>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</si>
  <si>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</si>
  <si>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</si>
  <si>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</si>
  <si>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</si>
  <si>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</si>
  <si>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</si>
  <si>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</si>
  <si>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</si>
  <si>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</si>
  <si>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</si>
  <si>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</si>
  <si>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</si>
  <si>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</si>
  <si>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</si>
  <si>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</si>
  <si>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</si>
  <si>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</si>
  <si>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</si>
  <si>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</si>
  <si>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</si>
  <si>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</si>
  <si>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</si>
  <si>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</si>
  <si>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</si>
  <si>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</si>
  <si>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</si>
  <si>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</si>
  <si>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</si>
  <si>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</si>
  <si>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</si>
  <si>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</si>
  <si>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</si>
  <si>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</si>
  <si>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</si>
  <si>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</si>
  <si>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</si>
  <si>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</si>
  <si>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</si>
  <si>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</si>
  <si>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</si>
  <si>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</si>
  <si>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</si>
  <si>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</si>
  <si>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</si>
  <si>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</si>
  <si>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</si>
  <si>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</si>
  <si>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</si>
  <si>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</si>
  <si>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</si>
  <si>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</si>
  <si>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</si>
  <si>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</si>
  <si>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</si>
  <si>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</si>
  <si>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</si>
  <si>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</si>
  <si>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</si>
  <si>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</si>
  <si>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</si>
  <si>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</si>
  <si>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</si>
  <si>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</si>
  <si>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</si>
  <si>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</si>
  <si>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</si>
  <si>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</si>
  <si>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</si>
  <si>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</si>
  <si>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</si>
  <si>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</si>
  <si>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</si>
  <si>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</si>
  <si>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</si>
  <si>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</si>
  <si>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</si>
  <si>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</si>
  <si>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</si>
  <si>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</si>
  <si>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</si>
  <si>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</si>
  <si>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</si>
  <si>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</si>
  <si>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</si>
  <si>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</si>
  <si>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</si>
  <si>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</si>
  <si>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</si>
  <si>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</si>
  <si>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</si>
  <si>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</si>
  <si>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</si>
  <si>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</si>
  <si>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</si>
  <si>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</si>
  <si>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</si>
  <si>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</si>
  <si>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</si>
  <si>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</si>
  <si>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</si>
  <si>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</si>
  <si>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</si>
  <si>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</si>
  <si>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</si>
  <si>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</si>
  <si>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</si>
  <si>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</si>
  <si>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</si>
  <si>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</si>
  <si>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</si>
  <si>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</si>
  <si>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</si>
  <si>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</si>
  <si>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</si>
  <si>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</si>
  <si>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</si>
  <si>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</si>
  <si>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</si>
  <si>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</si>
  <si>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</si>
  <si>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</si>
  <si>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</si>
  <si>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</si>
  <si>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</si>
  <si>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</si>
  <si>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</si>
  <si>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</si>
  <si>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</si>
  <si>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</si>
  <si>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</si>
  <si>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</si>
  <si>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</si>
  <si>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</si>
  <si>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</si>
  <si>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</si>
  <si>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</si>
  <si>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</si>
  <si>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</si>
  <si>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</si>
  <si>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</si>
  <si>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</si>
  <si>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</si>
  <si>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</si>
  <si>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</si>
  <si>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</si>
  <si>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</si>
  <si>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</si>
  <si>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</si>
  <si>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</si>
  <si>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</si>
  <si>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</si>
  <si>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</si>
  <si>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</si>
  <si>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</si>
  <si>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</si>
  <si>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</si>
  <si>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</si>
  <si>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</si>
  <si>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</si>
  <si>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</si>
  <si>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</si>
  <si>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</si>
  <si>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</si>
  <si>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</si>
  <si>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</si>
  <si>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</si>
  <si>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</si>
  <si>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</si>
  <si>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</si>
  <si>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</si>
  <si>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</si>
  <si>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</si>
  <si>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</si>
  <si>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</si>
  <si>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</si>
  <si>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</si>
  <si>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</si>
  <si>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</si>
  <si>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</si>
  <si>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</si>
  <si>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</si>
  <si>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</si>
  <si>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</si>
  <si>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</si>
  <si>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</si>
  <si>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</si>
  <si>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</si>
  <si>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</si>
  <si>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</si>
  <si>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</si>
  <si>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</si>
  <si>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</si>
  <si>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</si>
  <si>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</si>
  <si>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</si>
  <si>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</si>
  <si>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</si>
  <si>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</si>
  <si>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</si>
  <si>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</si>
  <si>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</si>
  <si>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</si>
  <si>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</si>
  <si>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</si>
  <si>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</si>
  <si>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</si>
  <si>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</si>
  <si>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</si>
  <si>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</si>
  <si>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</si>
  <si>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</si>
  <si>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</si>
  <si>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</si>
  <si>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</si>
  <si>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</si>
  <si>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</si>
  <si>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</si>
  <si>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</si>
  <si>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</si>
  <si>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</si>
  <si>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</si>
  <si>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</si>
  <si>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</si>
  <si>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</si>
  <si>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</si>
  <si>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</si>
  <si>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</si>
  <si>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</si>
  <si>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</si>
  <si>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</si>
  <si>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</si>
  <si>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</si>
  <si>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</si>
  <si>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</si>
  <si>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</si>
  <si>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</si>
  <si>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</si>
  <si>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</si>
  <si>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</si>
  <si>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</si>
  <si>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</si>
  <si>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</si>
  <si>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</si>
  <si>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</si>
  <si>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</si>
  <si>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</si>
  <si>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</si>
  <si>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</si>
  <si>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</si>
  <si>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</si>
  <si>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</si>
  <si>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</si>
  <si>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</si>
  <si>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</si>
  <si>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</si>
  <si>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</si>
  <si>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</si>
  <si>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</si>
  <si>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</si>
  <si>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</si>
  <si>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</si>
  <si>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</si>
  <si>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</si>
  <si>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</si>
  <si>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</si>
  <si>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</si>
  <si>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</si>
  <si>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</si>
  <si>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</si>
  <si>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</si>
  <si>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</si>
  <si>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</si>
  <si>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</si>
  <si>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</si>
  <si>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</si>
  <si>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</si>
  <si>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</si>
  <si>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</si>
  <si>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</si>
  <si>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</si>
  <si>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</si>
  <si>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</si>
  <si>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</si>
  <si>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</si>
  <si>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</si>
  <si>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</si>
  <si>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</si>
  <si>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</si>
  <si>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</si>
  <si>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</si>
  <si>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</si>
  <si>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</si>
  <si>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</si>
  <si>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</si>
  <si>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</si>
  <si>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</si>
  <si>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</si>
  <si>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</si>
  <si>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</si>
  <si>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</si>
  <si>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</si>
  <si>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</si>
  <si>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</si>
  <si>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</si>
  <si>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</si>
  <si>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</si>
  <si>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</si>
  <si>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</si>
  <si>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</si>
  <si>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</si>
  <si>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</si>
  <si>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</si>
  <si>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</si>
  <si>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</si>
  <si>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</si>
  <si>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</si>
  <si>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</si>
  <si>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</si>
  <si>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</si>
  <si>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</si>
  <si>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</si>
  <si>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</si>
  <si>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</si>
  <si>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</si>
  <si>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</si>
  <si>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</si>
  <si>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</si>
  <si>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</si>
  <si>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</si>
  <si>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</si>
  <si>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</si>
  <si>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</si>
  <si>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</si>
  <si>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</si>
  <si>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</si>
  <si>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</si>
  <si>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</si>
  <si>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</si>
  <si>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</si>
  <si>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</si>
  <si>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</si>
  <si>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</si>
  <si>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</si>
  <si>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</si>
  <si>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</si>
  <si>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</si>
  <si>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</si>
  <si>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</si>
  <si>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</si>
  <si>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</si>
  <si>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</si>
  <si>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</si>
  <si>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</si>
  <si>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</si>
  <si>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</si>
  <si>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</si>
  <si>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</si>
  <si>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</si>
  <si>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</si>
  <si>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</si>
  <si>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</si>
  <si>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</si>
  <si>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</si>
  <si>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</si>
  <si>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</si>
  <si>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</si>
  <si>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</si>
  <si>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</si>
  <si>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</si>
  <si>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</si>
  <si>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</si>
  <si>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</si>
  <si>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</si>
  <si>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</si>
  <si>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</si>
  <si>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</si>
  <si>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</si>
  <si>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</si>
  <si>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</si>
  <si>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</si>
  <si>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</si>
  <si>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</si>
  <si>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</si>
  <si>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</si>
  <si>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</si>
  <si>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</si>
  <si>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</si>
  <si>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</si>
  <si>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</si>
  <si>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</si>
  <si>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</si>
  <si>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</si>
  <si>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</si>
  <si>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</si>
  <si>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</si>
  <si>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</si>
  <si>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</si>
  <si>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</si>
  <si>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</si>
  <si>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</si>
  <si>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</si>
  <si>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</si>
  <si>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</si>
  <si>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</si>
  <si>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</si>
  <si>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</si>
  <si>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</si>
  <si>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</si>
  <si>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</si>
  <si>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</si>
  <si>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</si>
  <si>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</si>
  <si>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</si>
  <si>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</si>
  <si>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</si>
  <si>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</si>
  <si>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</si>
  <si>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</si>
  <si>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</si>
  <si>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</si>
  <si>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</si>
  <si>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</si>
  <si>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</si>
  <si>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</si>
  <si>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</si>
  <si>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</si>
  <si>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</si>
  <si>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</si>
  <si>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</si>
  <si>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</si>
  <si>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</si>
  <si>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</si>
  <si>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</si>
  <si>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</si>
  <si>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</si>
  <si>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</si>
  <si>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</si>
  <si>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</si>
  <si>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</si>
  <si>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</si>
  <si>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</si>
  <si>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</si>
  <si>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</si>
  <si>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</si>
  <si>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</si>
  <si>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</si>
  <si>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</si>
  <si>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</si>
  <si>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</si>
  <si>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</si>
  <si>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</si>
  <si>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</si>
  <si>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</si>
  <si>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</si>
  <si>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</si>
  <si>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</si>
  <si>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</si>
  <si>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</si>
  <si>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</si>
  <si>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</si>
  <si>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</si>
  <si>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</si>
  <si>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</si>
  <si>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</si>
  <si>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</si>
  <si>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</si>
  <si>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</si>
  <si>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</si>
  <si>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</si>
  <si>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</si>
  <si>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</si>
  <si>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</si>
  <si>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</si>
  <si>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</si>
  <si>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</si>
  <si>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</si>
  <si>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</si>
  <si>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</si>
  <si>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</si>
  <si>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</si>
  <si>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</si>
  <si>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</si>
  <si>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</si>
  <si>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</si>
  <si>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</si>
  <si>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</si>
  <si>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</si>
  <si>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</si>
  <si>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</si>
  <si>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</si>
  <si>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</si>
  <si>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</si>
  <si>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</si>
  <si>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</si>
  <si>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</si>
  <si>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</si>
  <si>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</si>
  <si>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</si>
  <si>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</si>
  <si>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</si>
  <si>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</si>
  <si>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</si>
  <si>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</si>
  <si>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</si>
  <si>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</si>
  <si>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</si>
  <si>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</si>
  <si>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</si>
  <si>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</si>
  <si>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</si>
  <si>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</si>
  <si>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</si>
  <si>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</si>
  <si>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</si>
  <si>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</si>
  <si>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</si>
  <si>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</si>
  <si>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</si>
  <si>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</si>
  <si>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</si>
  <si>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</si>
  <si>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</si>
  <si>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</si>
  <si>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</si>
  <si>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</si>
  <si>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</si>
  <si>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</si>
  <si>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</si>
  <si>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</si>
  <si>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</si>
  <si>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</si>
  <si>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</si>
  <si>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</si>
  <si>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</si>
  <si>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</si>
  <si>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</si>
  <si>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</si>
  <si>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</si>
  <si>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</si>
  <si>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</si>
  <si>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</si>
  <si>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</si>
  <si>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</si>
  <si>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</si>
  <si>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</si>
  <si>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</si>
  <si>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</si>
  <si>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</si>
  <si>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</si>
  <si>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</si>
  <si>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</si>
  <si>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</si>
  <si>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</si>
  <si>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</si>
  <si>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</si>
  <si>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</si>
  <si>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</si>
  <si>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</si>
  <si>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</si>
  <si>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</si>
  <si>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</si>
  <si>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</si>
  <si>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</si>
  <si>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</si>
  <si>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</si>
  <si>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</si>
  <si>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</si>
  <si>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</si>
  <si>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</si>
  <si>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</si>
  <si>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</si>
  <si>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</si>
  <si>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</si>
  <si>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</si>
  <si>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</si>
  <si>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</si>
  <si>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</si>
  <si>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</si>
  <si>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</si>
  <si>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</si>
  <si>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</si>
  <si>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</si>
  <si>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</si>
  <si>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</si>
  <si>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</si>
  <si>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</si>
  <si>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</si>
  <si>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</si>
  <si>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</si>
  <si>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</si>
  <si>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</si>
  <si>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</si>
  <si>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</si>
  <si>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</si>
  <si>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</si>
  <si>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</si>
  <si>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</si>
  <si>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</si>
  <si>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</si>
  <si>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</si>
  <si>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</si>
  <si>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</si>
  <si>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</si>
  <si>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</si>
  <si>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</si>
  <si>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</si>
  <si>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</si>
  <si>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</si>
  <si>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</si>
  <si>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</si>
  <si>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</si>
  <si>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</si>
  <si>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</si>
  <si>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</si>
  <si>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</si>
  <si>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</si>
  <si>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</si>
  <si>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</si>
  <si>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</si>
  <si>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</si>
  <si>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</si>
  <si>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</si>
  <si>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</si>
  <si>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</si>
  <si>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</si>
  <si>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</si>
  <si>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</si>
  <si>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</si>
  <si>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</si>
  <si>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</si>
  <si>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</si>
  <si>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</si>
  <si>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</si>
  <si>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</si>
  <si>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</si>
  <si>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</si>
  <si>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</si>
  <si>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</si>
  <si>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</si>
  <si>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</si>
  <si>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</si>
  <si>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</si>
  <si>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</si>
  <si>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</si>
  <si>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</si>
  <si>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</si>
  <si>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</si>
  <si>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</si>
  <si>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</si>
  <si>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</si>
  <si>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</si>
  <si>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</si>
  <si>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</si>
  <si>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</si>
  <si>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</si>
  <si>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</si>
  <si>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</si>
  <si>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</si>
  <si>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</si>
  <si>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</si>
  <si>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</si>
  <si>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</si>
  <si>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</si>
  <si>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</si>
  <si>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</si>
  <si>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</si>
  <si>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</si>
  <si>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</si>
  <si>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</si>
  <si>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</si>
  <si>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</si>
  <si>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</si>
  <si>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</si>
  <si>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</si>
  <si>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</si>
  <si>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</si>
  <si>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</si>
  <si>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</si>
  <si>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</si>
  <si>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</si>
  <si>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</si>
  <si>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</si>
  <si>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</si>
  <si>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</si>
  <si>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</si>
  <si>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</si>
  <si>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</si>
  <si>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</si>
  <si>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</si>
  <si>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</si>
  <si>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</si>
  <si>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</si>
  <si>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</si>
  <si>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</si>
  <si>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</si>
  <si>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</si>
  <si>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</si>
  <si>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</si>
  <si>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</si>
  <si>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</si>
  <si>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</si>
  <si>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</si>
  <si>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</si>
  <si>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</si>
  <si>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</si>
  <si>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</si>
  <si>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</si>
  <si>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</si>
  <si>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</si>
  <si>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</si>
  <si>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</si>
  <si>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</si>
  <si>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</si>
  <si>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</si>
  <si>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</si>
  <si>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</si>
  <si>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</si>
  <si>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</si>
  <si>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</si>
  <si>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</si>
  <si>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</si>
  <si>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</si>
  <si>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</si>
  <si>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</si>
  <si>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</si>
  <si>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</si>
  <si>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</si>
  <si>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</si>
  <si>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</si>
  <si>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</si>
  <si>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</si>
  <si>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</si>
  <si>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</si>
  <si>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</si>
  <si>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</si>
  <si>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</si>
  <si>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</si>
  <si>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</si>
  <si>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</si>
  <si>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</si>
  <si>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</si>
  <si>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</si>
  <si>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</si>
  <si>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</si>
  <si>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</si>
  <si>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</si>
  <si>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</si>
  <si>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</si>
  <si>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</si>
  <si>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</si>
  <si>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</si>
  <si>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</si>
  <si>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</si>
  <si>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</si>
  <si>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</si>
  <si>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</si>
  <si>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</si>
  <si>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</si>
  <si>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</si>
  <si>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</si>
  <si>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</si>
  <si>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</si>
  <si>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</si>
  <si>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</si>
  <si>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</si>
  <si>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</si>
  <si>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</si>
  <si>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</si>
  <si>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</si>
  <si>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</si>
  <si>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</si>
  <si>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</si>
  <si>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</si>
  <si>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</si>
  <si>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</si>
  <si>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</si>
  <si>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</si>
  <si>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</si>
  <si>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</si>
  <si>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</si>
  <si>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</si>
  <si>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</si>
  <si>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</si>
  <si>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</si>
  <si>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</si>
  <si>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</si>
  <si>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</si>
  <si>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</si>
  <si>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</si>
  <si>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</si>
  <si>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</si>
  <si>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</si>
  <si>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</si>
  <si>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</si>
  <si>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</si>
  <si>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</si>
  <si>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</si>
  <si>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</si>
  <si>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</si>
  <si>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</si>
  <si>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</si>
  <si>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</si>
  <si>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</si>
  <si>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</si>
  <si>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</si>
  <si>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</si>
  <si>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</si>
  <si>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</si>
  <si>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</si>
  <si>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</si>
  <si>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</si>
  <si>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</si>
  <si>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</si>
  <si>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</si>
  <si>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</si>
  <si>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</si>
  <si>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</si>
  <si>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</si>
  <si>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</si>
  <si>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</si>
  <si>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</si>
  <si>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</si>
  <si>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</si>
  <si>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</si>
  <si>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</si>
  <si>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</si>
  <si>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</si>
  <si>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</si>
  <si>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</si>
  <si>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</si>
  <si>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</si>
  <si>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</si>
  <si>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</si>
  <si>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</si>
  <si>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</si>
  <si>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</si>
  <si>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</si>
  <si>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</si>
  <si>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</si>
  <si>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</si>
  <si>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</si>
  <si>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</si>
  <si>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</si>
  <si>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</si>
  <si>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</si>
  <si>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</si>
  <si>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</si>
  <si>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</si>
  <si>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</si>
  <si>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</si>
  <si>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</si>
  <si>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</si>
  <si>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</si>
  <si>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</si>
  <si>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</si>
  <si>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</si>
  <si>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</si>
  <si>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</si>
  <si>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</si>
  <si>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</si>
  <si>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</si>
  <si>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</si>
  <si>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</si>
  <si>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</si>
  <si>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</si>
  <si>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</si>
  <si>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</si>
  <si>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</si>
  <si>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</si>
  <si>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</si>
  <si>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</si>
  <si>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</si>
  <si>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</si>
  <si>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</si>
  <si>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</si>
  <si>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</si>
  <si>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</si>
  <si>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</si>
  <si>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</si>
  <si>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</si>
  <si>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</si>
  <si>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</si>
  <si>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</si>
  <si>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</si>
  <si>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</si>
  <si>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</si>
  <si>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</si>
  <si>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</si>
  <si>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</si>
  <si>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</si>
  <si>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</si>
  <si>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</si>
  <si>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</si>
  <si>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</si>
  <si>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</si>
  <si>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</si>
  <si>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</si>
  <si>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</si>
  <si>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</si>
  <si>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</si>
  <si>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</si>
  <si>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</si>
  <si>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</si>
  <si>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</si>
  <si>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</si>
  <si>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</si>
  <si>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</si>
  <si>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</si>
  <si>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</si>
  <si>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</si>
  <si>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</si>
  <si>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</si>
  <si>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</si>
  <si>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</si>
  <si>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</si>
  <si>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</si>
  <si>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</si>
  <si>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</si>
  <si>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</si>
  <si>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</si>
  <si>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</si>
  <si>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</si>
  <si>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</si>
  <si>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</si>
  <si>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</si>
  <si>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</si>
  <si>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</si>
  <si>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</si>
  <si>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</si>
  <si>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</si>
  <si>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</si>
  <si>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</si>
  <si>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</si>
  <si>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</si>
  <si>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</si>
  <si>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</si>
  <si>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</si>
  <si>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</si>
  <si>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</si>
  <si>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</si>
  <si>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</si>
  <si>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</si>
  <si>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</si>
  <si>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</si>
  <si>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</si>
  <si>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</si>
  <si>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</si>
  <si>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</si>
  <si>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</si>
  <si>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</si>
  <si>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</si>
  <si>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</si>
  <si>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</si>
  <si>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</si>
  <si>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</si>
  <si>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</si>
  <si>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</si>
  <si>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</si>
  <si>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</si>
  <si>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</si>
  <si>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</si>
  <si>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</si>
  <si>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</si>
  <si>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</si>
  <si>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</si>
  <si>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</si>
  <si>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</si>
  <si>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</si>
  <si>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</si>
  <si>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</si>
  <si>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</si>
  <si>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</si>
  <si>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</si>
  <si>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</si>
  <si>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</si>
  <si>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</si>
  <si>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</si>
  <si>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</si>
  <si>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</si>
  <si>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</si>
  <si>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</si>
  <si>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</si>
  <si>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</si>
  <si>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</si>
  <si>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</si>
  <si>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</si>
  <si>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</si>
  <si>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</si>
  <si>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</si>
  <si>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</si>
  <si>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</si>
  <si>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</si>
  <si>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</si>
  <si>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</si>
  <si>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</si>
  <si>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</si>
  <si>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</si>
  <si>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</si>
  <si>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</si>
  <si>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</si>
  <si>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</si>
  <si>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</si>
  <si>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</si>
  <si>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</si>
  <si>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</si>
  <si>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</si>
  <si>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</si>
  <si>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</si>
  <si>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</si>
  <si>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</si>
  <si>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</si>
  <si>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</si>
  <si>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</si>
  <si>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</si>
  <si>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</si>
  <si>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</si>
  <si>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</si>
  <si>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</si>
  <si>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</si>
  <si>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</si>
  <si>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</si>
  <si>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</si>
  <si>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</si>
  <si>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</si>
  <si>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</si>
  <si>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</si>
  <si>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</si>
  <si>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</si>
  <si>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</si>
  <si>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</si>
  <si>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</si>
  <si>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</si>
  <si>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</si>
  <si>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</si>
  <si>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</si>
  <si>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</si>
  <si>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</si>
  <si>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</si>
  <si>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</si>
  <si>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</si>
  <si>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</si>
  <si>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</si>
  <si>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</si>
  <si>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</si>
  <si>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</si>
  <si>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</si>
  <si>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</si>
  <si>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</si>
  <si>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</si>
  <si>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</si>
  <si>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</si>
  <si>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</si>
  <si>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</si>
  <si>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</si>
  <si>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</si>
  <si>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</si>
  <si>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</si>
  <si>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</si>
  <si>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</si>
  <si>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</si>
  <si>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</si>
  <si>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</si>
  <si>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</si>
  <si>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</si>
  <si>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</si>
  <si>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</si>
  <si>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</si>
  <si>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</si>
  <si>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</si>
  <si>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</si>
  <si>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</si>
  <si>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</si>
  <si>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</si>
  <si>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</si>
  <si>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</si>
  <si>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</si>
  <si>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</si>
  <si>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</si>
  <si>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</si>
  <si>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</si>
  <si>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</si>
  <si>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</si>
  <si>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</si>
  <si>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</si>
  <si>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</si>
  <si>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</si>
  <si>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</si>
  <si>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</si>
  <si>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</si>
  <si>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</si>
  <si>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</si>
  <si>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</si>
  <si>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</si>
  <si>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</si>
  <si>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</si>
  <si>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</si>
  <si>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</si>
  <si>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</si>
  <si>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</si>
  <si>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</si>
  <si>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</si>
  <si>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</si>
  <si>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</si>
  <si>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</si>
  <si>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</si>
  <si>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</si>
  <si>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</si>
  <si>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</si>
  <si>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</si>
  <si>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</si>
  <si>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</si>
  <si>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</si>
  <si>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</si>
  <si>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</si>
  <si>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</si>
  <si>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</si>
  <si>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</si>
  <si>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</si>
  <si>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</si>
  <si>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</si>
  <si>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</si>
  <si>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</si>
  <si>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</si>
  <si>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</si>
  <si>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</si>
  <si>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</si>
  <si>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</si>
  <si>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</si>
  <si>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</si>
  <si>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</si>
  <si>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</si>
  <si>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</si>
  <si>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</si>
  <si>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</si>
  <si>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</si>
  <si>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</si>
  <si>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</si>
  <si>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</si>
  <si>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</si>
  <si>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</si>
  <si>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</si>
  <si>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</si>
  <si>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</si>
  <si>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</si>
  <si>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</si>
  <si>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</si>
  <si>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</si>
  <si>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</si>
  <si>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</si>
  <si>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</si>
  <si>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</si>
  <si>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</si>
  <si>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</si>
  <si>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</si>
  <si>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</si>
  <si>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</si>
  <si>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</si>
  <si>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</si>
  <si>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</si>
  <si>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</si>
  <si>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</si>
  <si>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</si>
  <si>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</si>
  <si>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</si>
  <si>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</si>
  <si>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</si>
  <si>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</si>
  <si>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</si>
  <si>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</si>
  <si>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</si>
  <si>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</si>
  <si>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</si>
  <si>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</si>
  <si>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</si>
  <si>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</si>
  <si>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</si>
  <si>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</si>
  <si>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</si>
  <si>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</si>
  <si>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</si>
  <si>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</si>
  <si>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</si>
  <si>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</si>
  <si>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</si>
  <si>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</si>
  <si>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</si>
  <si>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</si>
  <si>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</si>
  <si>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</si>
  <si>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</si>
  <si>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</si>
  <si>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</si>
  <si>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</si>
  <si>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</si>
  <si>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</si>
  <si>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</si>
  <si>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</si>
  <si>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</si>
  <si>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</si>
  <si>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</si>
  <si>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</si>
  <si>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</si>
  <si>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</si>
  <si>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</si>
  <si>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</si>
  <si>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</si>
  <si>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</si>
  <si>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</si>
  <si>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</si>
  <si>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</si>
  <si>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</si>
  <si>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</si>
  <si>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</si>
  <si>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</si>
  <si>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</si>
  <si>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</si>
  <si>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</si>
  <si>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</si>
  <si>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</si>
  <si>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</si>
  <si>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</si>
  <si>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</si>
  <si>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</si>
  <si>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</si>
  <si>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</si>
  <si>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</si>
  <si>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</si>
  <si>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</si>
  <si>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</si>
  <si>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</si>
  <si>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</si>
  <si>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</si>
  <si>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</si>
  <si>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</si>
  <si>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</si>
  <si>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</si>
  <si>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</si>
  <si>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</si>
  <si>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</si>
  <si>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</si>
  <si>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</si>
  <si>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</si>
  <si>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</si>
  <si>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</si>
  <si>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</si>
  <si>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</si>
  <si>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</si>
  <si>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</si>
  <si>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</si>
  <si>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</si>
  <si>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</si>
  <si>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</si>
  <si>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</si>
  <si>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</si>
  <si>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</si>
  <si>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</si>
  <si>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</si>
  <si>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</si>
  <si>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</si>
  <si>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</si>
  <si>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</si>
  <si>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</si>
  <si>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</si>
  <si>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</si>
  <si>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</si>
  <si>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</si>
  <si>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</si>
  <si>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</si>
  <si>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</si>
  <si>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</si>
  <si>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</si>
  <si>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</si>
  <si>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</si>
  <si>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</si>
  <si>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</si>
  <si>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</si>
  <si>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</si>
  <si>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</si>
  <si>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</si>
  <si>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</si>
  <si>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</si>
  <si>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</si>
  <si>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</si>
  <si>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</si>
  <si>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</si>
  <si>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</si>
  <si>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</si>
  <si>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</si>
  <si>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</si>
  <si>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</si>
  <si>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</si>
  <si>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</si>
  <si>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</si>
  <si>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</si>
  <si>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</si>
  <si>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</si>
  <si>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</si>
  <si>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</si>
  <si>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</si>
  <si>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</si>
  <si>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</si>
  <si>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</si>
  <si>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</si>
  <si>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</si>
  <si>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</si>
  <si>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</si>
  <si>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</si>
  <si>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</si>
  <si>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</si>
  <si>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</si>
  <si>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</si>
  <si>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</si>
  <si>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</si>
  <si>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</si>
  <si>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</si>
  <si>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</si>
  <si>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</si>
  <si>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</si>
  <si>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</si>
  <si>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</si>
  <si>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</si>
  <si>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</si>
  <si>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</si>
  <si>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</si>
  <si>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</si>
  <si>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</si>
  <si>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</si>
  <si>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</si>
  <si>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</si>
  <si>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</si>
  <si>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</si>
  <si>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</si>
  <si>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</si>
  <si>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</si>
  <si>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</si>
  <si>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</si>
  <si>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</si>
  <si>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</si>
  <si>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</si>
  <si>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</si>
  <si>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</si>
  <si>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</si>
  <si>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</si>
  <si>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</si>
  <si>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</si>
  <si>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</si>
  <si>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</si>
  <si>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</si>
  <si>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</si>
  <si>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</si>
  <si>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</si>
  <si>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</si>
  <si>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</si>
  <si>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</si>
  <si>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</si>
  <si>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</si>
  <si>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</si>
  <si>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</si>
  <si>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</si>
  <si>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</si>
  <si>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</si>
  <si>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</si>
  <si>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</si>
  <si>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</si>
  <si>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</si>
  <si>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</si>
  <si>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</si>
  <si>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</si>
  <si>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</si>
  <si>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</si>
  <si>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</si>
  <si>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</si>
  <si>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</si>
  <si>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</si>
  <si>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</si>
  <si>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</si>
  <si>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</si>
  <si>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</si>
  <si>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</si>
  <si>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</si>
  <si>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</si>
  <si>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</si>
  <si>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</si>
  <si>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</si>
  <si>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</si>
  <si>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</si>
  <si>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</si>
  <si>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</si>
  <si>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</si>
  <si>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</si>
  <si>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</si>
  <si>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</si>
  <si>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</si>
  <si>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</si>
  <si>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</si>
  <si>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</si>
  <si>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</si>
  <si>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</si>
  <si>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</si>
  <si>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</si>
  <si>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</si>
  <si>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</si>
  <si>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</si>
  <si>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</si>
  <si>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</si>
  <si>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</si>
  <si>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</si>
  <si>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</si>
  <si>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</si>
  <si>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</si>
  <si>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</si>
  <si>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</si>
  <si>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</si>
  <si>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</si>
  <si>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</si>
  <si>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</si>
  <si>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</si>
  <si>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</si>
  <si>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</si>
  <si>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</si>
  <si>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</si>
  <si>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</si>
  <si>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</si>
  <si>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</si>
  <si>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</si>
  <si>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</si>
  <si>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</si>
  <si>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</si>
  <si>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</si>
  <si>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</si>
  <si>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</si>
  <si>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</si>
  <si>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</si>
  <si>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</si>
  <si>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</si>
  <si>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</si>
  <si>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</si>
  <si>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</si>
  <si>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</si>
  <si>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</si>
  <si>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</si>
  <si>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</si>
  <si>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</si>
  <si>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</si>
  <si>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</si>
  <si>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</si>
  <si>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</si>
  <si>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</si>
  <si>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</si>
  <si>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</si>
  <si>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</si>
  <si>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</si>
  <si>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</si>
  <si>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</si>
  <si>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</si>
  <si>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</si>
  <si>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</si>
  <si>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</si>
  <si>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</si>
  <si>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</si>
  <si>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</si>
  <si>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</si>
  <si>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</si>
  <si>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</si>
  <si>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</si>
  <si>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</si>
  <si>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</si>
  <si>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</si>
  <si>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</si>
  <si>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</si>
  <si>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</si>
  <si>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</si>
  <si>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</si>
  <si>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</si>
  <si>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</si>
  <si>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</si>
  <si>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</si>
  <si>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</si>
  <si>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</si>
  <si>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</si>
  <si>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</si>
  <si>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</si>
  <si>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</si>
  <si>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</si>
  <si>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</si>
  <si>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</si>
  <si>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</si>
  <si>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</si>
  <si>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</si>
  <si>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</si>
  <si>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</si>
  <si>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</si>
  <si>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</si>
  <si>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</si>
  <si>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</si>
  <si>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</si>
  <si>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</si>
  <si>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</si>
  <si>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</si>
  <si>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</si>
  <si>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</si>
  <si>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</si>
  <si>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</si>
  <si>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</si>
  <si>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</si>
  <si>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</si>
  <si>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</si>
  <si>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</si>
  <si>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</si>
  <si>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</si>
  <si>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</si>
  <si>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</si>
  <si>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</si>
  <si>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</si>
  <si>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</si>
  <si>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</si>
  <si>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</si>
  <si>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</si>
  <si>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</si>
  <si>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</si>
  <si>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</si>
  <si>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</si>
  <si>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</si>
  <si>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</si>
  <si>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</si>
  <si>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</si>
  <si>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</si>
  <si>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</si>
  <si>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</si>
  <si>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</si>
  <si>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</si>
  <si>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</si>
  <si>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</si>
  <si>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</si>
  <si>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</si>
  <si>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</si>
  <si>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</si>
  <si>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</si>
  <si>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</si>
  <si>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</si>
  <si>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</si>
  <si>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</si>
  <si>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</si>
  <si>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</si>
  <si>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</si>
  <si>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</si>
  <si>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</si>
  <si>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</si>
  <si>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</si>
  <si>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</si>
  <si>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</si>
  <si>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</si>
  <si>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</si>
  <si>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</si>
  <si>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</si>
  <si>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</si>
  <si>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</si>
  <si>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</si>
  <si>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</si>
  <si>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</si>
  <si>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</si>
  <si>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</si>
  <si>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</si>
  <si>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</si>
  <si>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</si>
  <si>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</si>
  <si>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</si>
  <si>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</si>
  <si>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</si>
  <si>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</si>
  <si>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</si>
  <si>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</si>
  <si>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</si>
  <si>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</si>
  <si>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</si>
  <si>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</si>
  <si>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</si>
  <si>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</si>
  <si>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</si>
  <si>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</si>
  <si>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</si>
  <si>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</si>
  <si>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</si>
  <si>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</si>
  <si>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</si>
  <si>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</si>
  <si>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</si>
  <si>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</si>
  <si>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</si>
  <si>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</si>
  <si>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</si>
  <si>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</si>
  <si>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</si>
  <si>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</si>
  <si>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</si>
  <si>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</si>
  <si>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</si>
  <si>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</si>
  <si>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</si>
  <si>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</si>
  <si>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</si>
  <si>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</si>
  <si>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</si>
  <si>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</si>
  <si>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</si>
  <si>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</si>
  <si>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</si>
  <si>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</si>
  <si>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</si>
  <si>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</si>
  <si>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</si>
  <si>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</si>
  <si>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</si>
  <si>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</si>
  <si>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</si>
  <si>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</si>
  <si>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</si>
  <si>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</si>
  <si>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</si>
  <si>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</si>
  <si>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</si>
  <si>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</si>
  <si>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</si>
  <si>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</si>
  <si>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</si>
  <si>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</si>
  <si>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</si>
  <si>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</si>
  <si>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</si>
  <si>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</si>
  <si>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</si>
  <si>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</si>
  <si>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</si>
  <si>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</si>
  <si>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</si>
  <si>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</si>
  <si>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</si>
  <si>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</si>
  <si>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</si>
  <si>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</si>
  <si>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</si>
  <si>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</si>
  <si>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</si>
  <si>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</si>
  <si>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</si>
  <si>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</si>
  <si>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</si>
  <si>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</si>
  <si>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</si>
  <si>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</si>
  <si>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</si>
  <si>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</si>
  <si>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</si>
  <si>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</si>
  <si>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</si>
  <si>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</si>
  <si>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</si>
  <si>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</si>
  <si>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</si>
  <si>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</si>
  <si>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</si>
  <si>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</si>
  <si>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</si>
  <si>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</si>
  <si>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</si>
  <si>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</si>
  <si>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</si>
  <si>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</si>
  <si>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</si>
  <si>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</si>
  <si>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</si>
  <si>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</si>
  <si>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</si>
  <si>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</si>
  <si>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</si>
  <si>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</si>
  <si>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</si>
  <si>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</si>
  <si>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</si>
  <si>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</si>
  <si>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</si>
  <si>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</si>
  <si>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</si>
  <si>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</si>
  <si>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</si>
  <si>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</si>
  <si>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</si>
  <si>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</si>
  <si>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</si>
  <si>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</si>
  <si>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</si>
  <si>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</si>
  <si>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</si>
  <si>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</si>
  <si>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</si>
  <si>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</si>
  <si>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</si>
  <si>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</si>
  <si>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</si>
  <si>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</si>
  <si>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</si>
  <si>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</si>
  <si>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</si>
  <si>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</si>
  <si>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</si>
  <si>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</si>
  <si>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</si>
  <si>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</si>
  <si>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</si>
  <si>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</si>
  <si>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</si>
  <si>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</si>
  <si>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</si>
  <si>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</si>
  <si>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</si>
  <si>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</si>
  <si>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</si>
  <si>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</si>
  <si>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</si>
  <si>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</si>
  <si>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</si>
  <si>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</si>
  <si>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</si>
  <si>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</si>
  <si>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</si>
  <si>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</si>
  <si>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</si>
  <si>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</si>
  <si>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</si>
  <si>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</si>
  <si>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</si>
  <si>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</si>
  <si>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</si>
  <si>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</si>
  <si>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</si>
  <si>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</si>
  <si>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</si>
  <si>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</si>
  <si>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</si>
  <si>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</si>
  <si>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</si>
  <si>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</si>
  <si>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</si>
  <si>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</si>
  <si>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</si>
  <si>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</si>
  <si>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</si>
  <si>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</si>
  <si>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</si>
  <si>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</si>
  <si>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</si>
  <si>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</si>
  <si>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</si>
  <si>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</si>
  <si>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</si>
  <si>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</si>
  <si>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</si>
  <si>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</si>
  <si>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</si>
  <si>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</si>
  <si>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</si>
  <si>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</si>
  <si>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</si>
  <si>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</si>
  <si>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</si>
  <si>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</si>
  <si>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</si>
  <si>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</si>
  <si>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</si>
  <si>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</si>
  <si>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</si>
  <si>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</si>
  <si>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</si>
  <si>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</si>
  <si>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</si>
  <si>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</si>
  <si>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</si>
  <si>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</si>
  <si>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</si>
  <si>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</si>
  <si>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</si>
  <si>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</si>
  <si>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</si>
  <si>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</si>
  <si>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</si>
  <si>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</si>
  <si>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</si>
  <si>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</si>
  <si>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</si>
  <si>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</si>
  <si>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</si>
  <si>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</si>
  <si>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</si>
  <si>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</si>
  <si>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</si>
  <si>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</si>
  <si>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</si>
  <si>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</si>
  <si>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</si>
  <si>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</si>
  <si>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</si>
  <si>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</si>
  <si>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</si>
  <si>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</si>
  <si>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</si>
  <si>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</si>
  <si>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</si>
  <si>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</si>
  <si>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</si>
  <si>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</si>
  <si>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</si>
  <si>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</si>
  <si>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</si>
  <si>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</si>
  <si>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</si>
  <si>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</si>
  <si>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</si>
  <si>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</si>
  <si>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</si>
  <si>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</si>
  <si>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</si>
  <si>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</si>
  <si>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</si>
  <si>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</si>
  <si>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</si>
  <si>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</si>
  <si>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</si>
  <si>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</si>
  <si>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</si>
  <si>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</si>
  <si>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</si>
  <si>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</si>
  <si>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</si>
  <si>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</si>
  <si>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</si>
  <si>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</si>
  <si>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</si>
  <si>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</si>
  <si>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</si>
  <si>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</si>
  <si>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</si>
  <si>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</si>
  <si>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</si>
  <si>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</si>
  <si>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</si>
  <si>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</si>
  <si>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</si>
  <si>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</si>
  <si>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</si>
  <si>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</si>
  <si>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</si>
  <si>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</si>
  <si>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</si>
  <si>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</si>
  <si>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</si>
  <si>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</si>
  <si>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</si>
  <si>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</si>
  <si>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</si>
  <si>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</si>
  <si>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</si>
  <si>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</si>
  <si>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</si>
  <si>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</si>
  <si>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</si>
  <si>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</si>
  <si>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</si>
  <si>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</si>
  <si>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</si>
  <si>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</si>
  <si>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</si>
  <si>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</si>
  <si>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</si>
  <si>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</si>
  <si>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</si>
  <si>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</si>
  <si>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</si>
  <si>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</si>
  <si>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</si>
  <si>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</si>
  <si>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</si>
  <si>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</si>
  <si>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</si>
  <si>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</si>
  <si>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</si>
  <si>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</si>
  <si>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</si>
  <si>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</si>
  <si>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</si>
  <si>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</si>
  <si>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</si>
  <si>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</si>
  <si>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</si>
  <si>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</si>
  <si>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</si>
  <si>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</si>
  <si>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</si>
  <si>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</si>
  <si>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</si>
  <si>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</si>
  <si>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</si>
  <si>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</si>
  <si>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</si>
  <si>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</si>
  <si>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</si>
  <si>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</si>
  <si>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</si>
  <si>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</si>
  <si>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</si>
  <si>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</si>
  <si>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</si>
  <si>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</si>
  <si>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</si>
  <si>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</si>
  <si>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</si>
  <si>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</si>
  <si>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</si>
  <si>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</si>
  <si>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</si>
  <si>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</si>
  <si>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</si>
  <si>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</si>
  <si>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</si>
  <si>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</si>
  <si>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</si>
  <si>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</si>
  <si>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</si>
  <si>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98014881436</t>
  </si>
  <si>
    <t>02058146</t>
  </si>
  <si>
    <t>130003769</t>
  </si>
  <si>
    <t>TERRA MEDITERRANEA d.d.</t>
  </si>
  <si>
    <t>ZAGREB</t>
  </si>
  <si>
    <t>BUDMANIJEVA 3</t>
  </si>
  <si>
    <t>info@terramediterranea.hr</t>
  </si>
  <si>
    <t>012922213</t>
  </si>
  <si>
    <t>02996499</t>
  </si>
  <si>
    <t>M.L.M. CENSEA j.d.o.o.</t>
  </si>
  <si>
    <t>Sanja Babić</t>
  </si>
  <si>
    <t>info@mlm-censea.hr</t>
  </si>
  <si>
    <t>Žagar Matija</t>
  </si>
  <si>
    <t>MSFI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</si>
</sst>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42">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107496.78</v>
      </c>
      <c r="I3" s="31">
        <f>ABS(ROUND(J3,0)-J3)+ABS(ROUND(K3,0)-K3)</f>
        <v>0</v>
      </c>
      <c r="J3" s="31">
        <f>Bilanca!I10</f>
        <v>2687441</v>
      </c>
      <c r="K3" s="31">
        <f>Bilanca!J10</f>
        <v>1343699</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02058146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t="str">
        <f>RefStr!M27</f>
        <v>130003769</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98014881436</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TERRA MEDITERRANEA d.d.</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10000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ZAGREB</v>
      </c>
      <c r="D11" s="4" t="s">
        <v>1521</v>
      </c>
      <c r="E11" s="4">
        <v>1</v>
      </c>
      <c r="F11" s="4">
        <f>Bilanca!G18</f>
        <v>10</v>
      </c>
      <c r="G11" s="4">
        <f>IF(Bilanca!H18=0,"",Bilanca!H18)</f>
      </c>
      <c r="H11" s="30">
        <f t="shared" si="0"/>
        <v>537483.8999999999</v>
      </c>
      <c r="I11" s="31">
        <f t="shared" si="1"/>
        <v>0</v>
      </c>
      <c r="J11" s="31">
        <f>Bilanca!I18</f>
        <v>2687441</v>
      </c>
      <c r="K11" s="31">
        <f>Bilanca!J18</f>
        <v>1343699</v>
      </c>
    </row>
    <row r="12" spans="1:11" ht="12.75">
      <c r="A12" s="4" t="s">
        <v>2356</v>
      </c>
      <c r="B12" s="29" t="str">
        <f>TRIM(RefStr!C33)</f>
        <v>BUDMANIJEVA 3</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info@terramediterranea.hr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243.62</v>
      </c>
      <c r="I14" s="31">
        <f t="shared" si="1"/>
        <v>0</v>
      </c>
      <c r="J14" s="31">
        <f>Bilanca!I21</f>
        <v>958</v>
      </c>
      <c r="K14" s="31">
        <f>Bilanca!J21</f>
        <v>458</v>
      </c>
    </row>
    <row r="15" spans="1:11" ht="12.75">
      <c r="A15" s="4" t="s">
        <v>2359</v>
      </c>
      <c r="B15" s="29" t="str">
        <f>TEXT(RefStr!J39,"00")</f>
        <v>21</v>
      </c>
      <c r="D15" s="4" t="s">
        <v>1521</v>
      </c>
      <c r="E15" s="4">
        <v>1</v>
      </c>
      <c r="F15" s="4">
        <f>Bilanca!G22</f>
        <v>14</v>
      </c>
      <c r="G15" s="4">
        <f>IF(Bilanca!H22=0,"",Bilanca!H22)</f>
      </c>
      <c r="H15" s="30">
        <f t="shared" si="0"/>
        <v>0</v>
      </c>
      <c r="I15" s="31">
        <f t="shared" si="1"/>
        <v>0</v>
      </c>
      <c r="J15" s="31">
        <f>Bilanca!I22</f>
        <v>0</v>
      </c>
      <c r="K15" s="31">
        <f>Bilanca!J22</f>
        <v>0</v>
      </c>
    </row>
    <row r="16" spans="1:11" ht="12.75">
      <c r="A16" s="4" t="s">
        <v>2358</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6810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1020863.3500000001</v>
      </c>
      <c r="I20" s="31">
        <f t="shared" si="1"/>
        <v>0</v>
      </c>
      <c r="J20" s="31">
        <f>Bilanca!I27</f>
        <v>2686483</v>
      </c>
      <c r="K20" s="31">
        <f>Bilanca!J27</f>
        <v>1343241</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21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02996499</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M.L.M. CENSEA j.d.o.o.</v>
      </c>
      <c r="D38" s="4" t="s">
        <v>1521</v>
      </c>
      <c r="E38" s="4">
        <v>1</v>
      </c>
      <c r="F38" s="4">
        <f>Bilanca!G45</f>
        <v>37</v>
      </c>
      <c r="G38" s="4">
        <f>IF(Bilanca!H45=0,"",Bilanca!H45)</f>
      </c>
      <c r="H38" s="30">
        <f t="shared" si="0"/>
        <v>405828.57999999996</v>
      </c>
      <c r="I38" s="31">
        <f t="shared" si="1"/>
        <v>0</v>
      </c>
      <c r="J38" s="31">
        <f>Bilanca!I45</f>
        <v>100702</v>
      </c>
      <c r="K38" s="31">
        <f>Bilanca!J45</f>
        <v>498066</v>
      </c>
    </row>
    <row r="39" spans="1:11" ht="12.75">
      <c r="A39" s="4" t="s">
        <v>1216</v>
      </c>
      <c r="B39" s="29" t="str">
        <f>RefStr!C68</f>
        <v>Sanja Babić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012922213</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info@mlm-censea.hr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Žagar Matija</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2309.66</v>
      </c>
      <c r="I47" s="31">
        <f t="shared" si="3"/>
        <v>0</v>
      </c>
      <c r="J47" s="31">
        <f>Bilanca!I54</f>
        <v>2431</v>
      </c>
      <c r="K47" s="31">
        <f>Bilanca!J54</f>
        <v>1295</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564.9699999999999</v>
      </c>
      <c r="I50" s="31">
        <f t="shared" si="3"/>
        <v>0</v>
      </c>
      <c r="J50" s="31">
        <f>Bilanca!I57</f>
        <v>1153</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2618</v>
      </c>
      <c r="D52" s="4" t="s">
        <v>1521</v>
      </c>
      <c r="E52" s="4">
        <v>1</v>
      </c>
      <c r="F52" s="4">
        <f>Bilanca!G59</f>
        <v>51</v>
      </c>
      <c r="G52" s="4">
        <f>IF(Bilanca!H59=0,"",Bilanca!H59)</f>
      </c>
      <c r="H52" s="30">
        <f t="shared" si="2"/>
        <v>1972.6799999999998</v>
      </c>
      <c r="I52" s="31">
        <f t="shared" si="3"/>
        <v>0</v>
      </c>
      <c r="J52" s="31">
        <f>Bilanca!I59</f>
        <v>1278</v>
      </c>
      <c r="K52" s="31">
        <f>Bilanca!J59</f>
        <v>1295</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13648.029999999999</v>
      </c>
      <c r="I54" s="31">
        <f t="shared" si="3"/>
        <v>0</v>
      </c>
      <c r="J54" s="31">
        <f>Bilanca!I61</f>
        <v>25751</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1072135792.97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15708.109999999999</v>
      </c>
      <c r="I62" s="31">
        <f t="shared" si="3"/>
        <v>0</v>
      </c>
      <c r="J62" s="31">
        <f>Bilanca!I69</f>
        <v>25751</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671619.0599999999</v>
      </c>
      <c r="I64" s="31">
        <f t="shared" si="3"/>
        <v>0</v>
      </c>
      <c r="J64" s="31">
        <f>Bilanca!I71</f>
        <v>72520</v>
      </c>
      <c r="K64" s="31">
        <f>Bilanca!J71</f>
        <v>496771</v>
      </c>
    </row>
    <row r="65" spans="1:11" ht="12.75">
      <c r="A65" s="4" t="s">
        <v>687</v>
      </c>
      <c r="B65" s="29" t="str">
        <f>RefStr!N19</f>
        <v>MSFI</v>
      </c>
      <c r="D65" s="4" t="s">
        <v>1521</v>
      </c>
      <c r="E65" s="4">
        <v>1</v>
      </c>
      <c r="F65" s="4">
        <f>Bilanca!G72</f>
        <v>64</v>
      </c>
      <c r="G65" s="4">
        <f>IF(Bilanca!H72=0,"",Bilanca!H72)</f>
      </c>
      <c r="H65" s="30">
        <f t="shared" si="2"/>
        <v>4266.88</v>
      </c>
      <c r="I65" s="31">
        <f t="shared" si="3"/>
        <v>0</v>
      </c>
      <c r="J65" s="31">
        <f>Bilanca!I72</f>
        <v>6667</v>
      </c>
      <c r="K65" s="31">
        <f>Bilanca!J72</f>
        <v>0</v>
      </c>
    </row>
    <row r="66" spans="1:11" ht="12.75">
      <c r="A66" s="4" t="s">
        <v>688</v>
      </c>
      <c r="B66" s="29">
        <f>RefStr!C23</f>
        <v>1</v>
      </c>
      <c r="D66" s="4" t="s">
        <v>1521</v>
      </c>
      <c r="E66" s="4">
        <v>1</v>
      </c>
      <c r="F66" s="4">
        <f>Bilanca!G73</f>
        <v>65</v>
      </c>
      <c r="G66" s="4">
        <f>IF(Bilanca!H73=0,"",Bilanca!H73)</f>
      </c>
      <c r="H66" s="30">
        <f t="shared" si="2"/>
        <v>4210921</v>
      </c>
      <c r="I66" s="31">
        <f t="shared" si="3"/>
        <v>0</v>
      </c>
      <c r="J66" s="31">
        <f>Bilanca!I73</f>
        <v>2794810</v>
      </c>
      <c r="K66" s="31">
        <f>Bilanca!J73</f>
        <v>1841765</v>
      </c>
    </row>
    <row r="67" spans="1:11" ht="12.75">
      <c r="A67" s="4" t="s">
        <v>689</v>
      </c>
      <c r="B67" s="29" t="str">
        <f>RefStr!L35</f>
        <v>012922213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4265153</v>
      </c>
      <c r="I68" s="31">
        <f t="shared" si="3"/>
        <v>0</v>
      </c>
      <c r="J68" s="31">
        <f>Bilanca!I76</f>
        <v>2709174</v>
      </c>
      <c r="K68" s="31">
        <f>Bilanca!J76</f>
        <v>1828363</v>
      </c>
    </row>
    <row r="69" spans="1:11" ht="12.75">
      <c r="A69" s="4" t="s">
        <v>691</v>
      </c>
      <c r="B69" s="29">
        <f>RefStr!M46</f>
        <v>0</v>
      </c>
      <c r="D69" s="4" t="s">
        <v>1521</v>
      </c>
      <c r="E69" s="4">
        <v>1</v>
      </c>
      <c r="F69" s="4">
        <f>Bilanca!G77</f>
        <v>68</v>
      </c>
      <c r="G69" s="4">
        <f>IF(Bilanca!H77=0,"",Bilanca!H77)</f>
      </c>
      <c r="H69" s="30">
        <f t="shared" si="2"/>
        <v>47123388</v>
      </c>
      <c r="I69" s="31">
        <f t="shared" si="3"/>
        <v>0</v>
      </c>
      <c r="J69" s="31">
        <f>Bilanca!I77</f>
        <v>23099700</v>
      </c>
      <c r="K69" s="31">
        <f>Bilanca!J77</f>
        <v>23099700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657317.92</v>
      </c>
      <c r="I77" s="31">
        <f t="shared" si="3"/>
        <v>0</v>
      </c>
      <c r="J77" s="31">
        <f>Bilanca!I85</f>
        <v>432446</v>
      </c>
      <c r="K77" s="31">
        <f>Bilanca!J85</f>
        <v>216223</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-49940310.239999995</v>
      </c>
      <c r="I82" s="31">
        <f t="shared" si="3"/>
        <v>0</v>
      </c>
      <c r="J82" s="31">
        <f>Bilanca!I90</f>
        <v>-20008756</v>
      </c>
      <c r="K82" s="31">
        <f>Bilanca!J90</f>
        <v>-20822974</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51173404.31999999</v>
      </c>
      <c r="I84" s="31">
        <f t="shared" si="3"/>
        <v>0</v>
      </c>
      <c r="J84" s="31">
        <f>Bilanca!I92</f>
        <v>20008756</v>
      </c>
      <c r="K84" s="31">
        <f>Bilanca!J92</f>
        <v>20822974</v>
      </c>
    </row>
    <row r="85" spans="4:11" ht="12.75">
      <c r="D85" s="4" t="s">
        <v>1521</v>
      </c>
      <c r="E85" s="4">
        <v>1</v>
      </c>
      <c r="F85" s="4">
        <f>Bilanca!G93</f>
        <v>84</v>
      </c>
      <c r="G85" s="4">
        <f>IF(Bilanca!H93=0,"",Bilanca!H93)</f>
      </c>
      <c r="H85" s="30">
        <f>J85/100*F85+2*K85/100*F85</f>
        <v>-1800445.92</v>
      </c>
      <c r="I85" s="31">
        <f>ABS(ROUND(J85,0)-J85)+ABS(ROUND(K85,0)-K85)</f>
        <v>0</v>
      </c>
      <c r="J85" s="31">
        <f>Bilanca!I93</f>
        <v>-814216</v>
      </c>
      <c r="K85" s="31">
        <f>Bilanca!J93</f>
        <v>-664586</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1843313.68</v>
      </c>
      <c r="I87" s="31">
        <f aca="true" t="shared" si="5" ref="I87:I127">ABS(ROUND(J87,0)-J87)+ABS(ROUND(K87,0)-K87)</f>
        <v>0</v>
      </c>
      <c r="J87" s="31">
        <f>Bilanca!I95</f>
        <v>814216</v>
      </c>
      <c r="K87" s="31">
        <f>Bilanca!J95</f>
        <v>664586</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120310.8</v>
      </c>
      <c r="I108" s="31">
        <f t="shared" si="5"/>
        <v>0</v>
      </c>
      <c r="J108" s="31">
        <f>Bilanca!I116</f>
        <v>85636</v>
      </c>
      <c r="K108" s="31">
        <f>Bilanca!J116</f>
        <v>13402</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64370.1</v>
      </c>
      <c r="I116" s="31">
        <f t="shared" si="5"/>
        <v>0</v>
      </c>
      <c r="J116" s="31">
        <f>Bilanca!I124</f>
        <v>46680</v>
      </c>
      <c r="K116" s="31">
        <f>Bilanca!J124</f>
        <v>4647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16129.619999999999</v>
      </c>
      <c r="I118" s="31">
        <f t="shared" si="5"/>
        <v>0</v>
      </c>
      <c r="J118" s="31">
        <f>Bilanca!I126</f>
        <v>4666</v>
      </c>
      <c r="K118" s="31">
        <f>Bilanca!J126</f>
        <v>4560</v>
      </c>
    </row>
    <row r="119" spans="4:11" ht="12.75">
      <c r="D119" s="4" t="s">
        <v>1521</v>
      </c>
      <c r="E119" s="4">
        <v>1</v>
      </c>
      <c r="F119" s="4">
        <f>Bilanca!G127</f>
        <v>118</v>
      </c>
      <c r="G119" s="4">
        <f>IF(Bilanca!H127=0,"",Bilanca!H127)</f>
      </c>
      <c r="H119" s="30">
        <f t="shared" si="4"/>
        <v>10131.48</v>
      </c>
      <c r="I119" s="31">
        <f t="shared" si="5"/>
        <v>0</v>
      </c>
      <c r="J119" s="31">
        <f>Bilanca!I127</f>
        <v>2334</v>
      </c>
      <c r="K119" s="31">
        <f>Bilanca!J127</f>
        <v>3126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41253.740000000005</v>
      </c>
      <c r="I122" s="31">
        <f t="shared" si="5"/>
        <v>0</v>
      </c>
      <c r="J122" s="31">
        <f>Bilanca!I130</f>
        <v>31956</v>
      </c>
      <c r="K122" s="31">
        <f>Bilanca!J130</f>
        <v>1069</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7968358.2</v>
      </c>
      <c r="I124" s="31">
        <f t="shared" si="5"/>
        <v>0</v>
      </c>
      <c r="J124" s="31">
        <f>Bilanca!I132</f>
        <v>2794810</v>
      </c>
      <c r="K124" s="31">
        <f>Bilanca!J132</f>
        <v>1841765</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1812738.75</v>
      </c>
      <c r="I126" s="4">
        <f t="shared" si="5"/>
        <v>0</v>
      </c>
      <c r="J126" s="31">
        <f>RDG!I8</f>
        <v>156125</v>
      </c>
      <c r="K126" s="31">
        <f>RDG!J8</f>
        <v>647033</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1613898.22</v>
      </c>
      <c r="I128" s="4">
        <f aca="true" t="shared" si="7" ref="I128:I190">ABS(ROUND(J128,0)-J128)+ABS(ROUND(K128,0)-K128)</f>
        <v>0</v>
      </c>
      <c r="J128" s="31">
        <f>RDG!I10</f>
        <v>130000</v>
      </c>
      <c r="K128" s="31">
        <f>RDG!J10</f>
        <v>570393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233226.5</v>
      </c>
      <c r="I131" s="4">
        <f t="shared" si="7"/>
        <v>0</v>
      </c>
      <c r="J131" s="31">
        <f>RDG!I13</f>
        <v>26125</v>
      </c>
      <c r="K131" s="31">
        <f>RDG!J13</f>
        <v>76640</v>
      </c>
    </row>
    <row r="132" spans="4:11" ht="12.75">
      <c r="D132" s="4" t="s">
        <v>541</v>
      </c>
      <c r="E132" s="4">
        <v>2</v>
      </c>
      <c r="F132" s="4">
        <f>RDG!G14</f>
        <v>131</v>
      </c>
      <c r="G132" s="4">
        <f>IF(RDG!H14=0,"",RDG!H14)</f>
      </c>
      <c r="H132" s="30">
        <f t="shared" si="6"/>
        <v>4707610.76</v>
      </c>
      <c r="I132" s="4">
        <f t="shared" si="7"/>
        <v>0</v>
      </c>
      <c r="J132" s="31">
        <f>RDG!I14</f>
        <v>969610</v>
      </c>
      <c r="K132" s="31">
        <f>RDG!J14</f>
        <v>1311993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187045.88</v>
      </c>
      <c r="I134" s="4">
        <f t="shared" si="7"/>
        <v>0</v>
      </c>
      <c r="J134" s="31">
        <f>RDG!I16</f>
        <v>95150</v>
      </c>
      <c r="K134" s="31">
        <f>RDG!J16</f>
        <v>22743</v>
      </c>
    </row>
    <row r="135" spans="4:11" ht="12.75">
      <c r="D135" s="4" t="s">
        <v>541</v>
      </c>
      <c r="E135" s="4">
        <v>2</v>
      </c>
      <c r="F135" s="4">
        <f>RDG!G17</f>
        <v>134</v>
      </c>
      <c r="G135" s="4">
        <f>IF(RDG!H17=0,"",RDG!H17)</f>
      </c>
      <c r="H135" s="30">
        <f t="shared" si="6"/>
        <v>683.4</v>
      </c>
      <c r="I135" s="4">
        <f t="shared" si="7"/>
        <v>0</v>
      </c>
      <c r="J135" s="31">
        <f>RDG!I17</f>
        <v>510</v>
      </c>
      <c r="K135" s="31">
        <f>RDG!J17</f>
        <v>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190571.36</v>
      </c>
      <c r="I137" s="4">
        <f t="shared" si="7"/>
        <v>0</v>
      </c>
      <c r="J137" s="31">
        <f>RDG!I19</f>
        <v>94640</v>
      </c>
      <c r="K137" s="31">
        <f>RDG!J19</f>
        <v>22743</v>
      </c>
    </row>
    <row r="138" spans="4:11" ht="12.75">
      <c r="D138" s="4" t="s">
        <v>541</v>
      </c>
      <c r="E138" s="4">
        <v>2</v>
      </c>
      <c r="F138" s="4">
        <f>RDG!G20</f>
        <v>137</v>
      </c>
      <c r="G138" s="4">
        <f>IF(RDG!H20=0,"",RDG!H20)</f>
      </c>
      <c r="H138" s="30">
        <f t="shared" si="6"/>
        <v>378215.9</v>
      </c>
      <c r="I138" s="4">
        <f t="shared" si="7"/>
        <v>0</v>
      </c>
      <c r="J138" s="31">
        <f>RDG!I20</f>
        <v>83472</v>
      </c>
      <c r="K138" s="31">
        <f>RDG!J20</f>
        <v>96299</v>
      </c>
    </row>
    <row r="139" spans="4:11" ht="12.75">
      <c r="D139" s="4" t="s">
        <v>541</v>
      </c>
      <c r="E139" s="4">
        <v>2</v>
      </c>
      <c r="F139" s="4">
        <f>RDG!G21</f>
        <v>138</v>
      </c>
      <c r="G139" s="4">
        <f>IF(RDG!H21=0,"",RDG!H21)</f>
      </c>
      <c r="H139" s="30">
        <f t="shared" si="6"/>
        <v>253185.84000000003</v>
      </c>
      <c r="I139" s="4">
        <f t="shared" si="7"/>
        <v>0</v>
      </c>
      <c r="J139" s="31">
        <f>RDG!I21</f>
        <v>56928</v>
      </c>
      <c r="K139" s="31">
        <f>RDG!J21</f>
        <v>63270</v>
      </c>
    </row>
    <row r="140" spans="4:11" ht="12.75">
      <c r="D140" s="4" t="s">
        <v>541</v>
      </c>
      <c r="E140" s="4">
        <v>2</v>
      </c>
      <c r="F140" s="4">
        <f>RDG!G22</f>
        <v>139</v>
      </c>
      <c r="G140" s="4">
        <f>IF(RDG!H22=0,"",RDG!H22)</f>
      </c>
      <c r="H140" s="30">
        <f t="shared" si="6"/>
        <v>74367.78</v>
      </c>
      <c r="I140" s="4">
        <f t="shared" si="7"/>
        <v>0</v>
      </c>
      <c r="J140" s="31">
        <f>RDG!I22</f>
        <v>14722</v>
      </c>
      <c r="K140" s="31">
        <f>RDG!J22</f>
        <v>19390</v>
      </c>
    </row>
    <row r="141" spans="4:11" ht="12.75">
      <c r="D141" s="4" t="s">
        <v>541</v>
      </c>
      <c r="E141" s="4">
        <v>2</v>
      </c>
      <c r="F141" s="4">
        <f>RDG!G23</f>
        <v>140</v>
      </c>
      <c r="G141" s="4">
        <f>IF(RDG!H23=0,"",RDG!H23)</f>
      </c>
      <c r="H141" s="30">
        <f t="shared" si="6"/>
        <v>54740</v>
      </c>
      <c r="I141" s="4">
        <f t="shared" si="7"/>
        <v>0</v>
      </c>
      <c r="J141" s="31">
        <f>RDG!I23</f>
        <v>11822</v>
      </c>
      <c r="K141" s="31">
        <f>RDG!J23</f>
        <v>13639</v>
      </c>
    </row>
    <row r="142" spans="4:11" ht="12.75">
      <c r="D142" s="4" t="s">
        <v>541</v>
      </c>
      <c r="E142" s="4">
        <v>2</v>
      </c>
      <c r="F142" s="4">
        <f>RDG!G24</f>
        <v>141</v>
      </c>
      <c r="G142" s="4">
        <f>IF(RDG!H24=0,"",RDG!H24)</f>
      </c>
      <c r="H142" s="30">
        <f t="shared" si="6"/>
        <v>2115</v>
      </c>
      <c r="I142" s="4">
        <f t="shared" si="7"/>
        <v>0</v>
      </c>
      <c r="J142" s="31">
        <f>RDG!I24</f>
        <v>500</v>
      </c>
      <c r="K142" s="31">
        <f>RDG!J24</f>
        <v>500</v>
      </c>
    </row>
    <row r="143" spans="4:11" ht="12.75">
      <c r="D143" s="4" t="s">
        <v>541</v>
      </c>
      <c r="E143" s="4">
        <v>2</v>
      </c>
      <c r="F143" s="4">
        <f>RDG!G25</f>
        <v>142</v>
      </c>
      <c r="G143" s="4">
        <f>IF(RDG!H25=0,"",RDG!H25)</f>
      </c>
      <c r="H143" s="30">
        <f t="shared" si="6"/>
        <v>237698.06</v>
      </c>
      <c r="I143" s="4">
        <f t="shared" si="7"/>
        <v>0</v>
      </c>
      <c r="J143" s="31">
        <f>RDG!I25</f>
        <v>40197</v>
      </c>
      <c r="K143" s="31">
        <f>RDG!J25</f>
        <v>63598</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4602235.41</v>
      </c>
      <c r="I154" s="4">
        <f t="shared" si="7"/>
        <v>0</v>
      </c>
      <c r="J154" s="31">
        <f>RDG!I36</f>
        <v>750291</v>
      </c>
      <c r="K154" s="31">
        <f>RDG!J36</f>
        <v>1128853</v>
      </c>
    </row>
    <row r="155" spans="4:11" ht="12.75">
      <c r="D155" s="4" t="s">
        <v>541</v>
      </c>
      <c r="E155" s="4">
        <v>2</v>
      </c>
      <c r="F155" s="4">
        <f>RDG!G37</f>
        <v>154</v>
      </c>
      <c r="G155" s="4">
        <f>IF(RDG!H37=0,"",RDG!H37)</f>
      </c>
      <c r="H155" s="30">
        <f t="shared" si="6"/>
        <v>1937.3200000000002</v>
      </c>
      <c r="I155" s="4">
        <f t="shared" si="7"/>
        <v>0</v>
      </c>
      <c r="J155" s="31">
        <f>RDG!I37</f>
        <v>460</v>
      </c>
      <c r="K155" s="31">
        <f>RDG!J37</f>
        <v>399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2025.3799999999999</v>
      </c>
      <c r="I162" s="4">
        <f t="shared" si="7"/>
        <v>0</v>
      </c>
      <c r="J162" s="31">
        <f>RDG!I44</f>
        <v>460</v>
      </c>
      <c r="K162" s="31">
        <f>RDG!J44</f>
        <v>399</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2047.65</v>
      </c>
      <c r="I166" s="4">
        <f t="shared" si="7"/>
        <v>0</v>
      </c>
      <c r="J166" s="31">
        <f>RDG!I48</f>
        <v>1191</v>
      </c>
      <c r="K166" s="31">
        <f>RDG!J48</f>
        <v>25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2084.88</v>
      </c>
      <c r="I169" s="4">
        <f t="shared" si="7"/>
        <v>0</v>
      </c>
      <c r="J169" s="31">
        <f>RDG!I51</f>
        <v>1191</v>
      </c>
      <c r="K169" s="31">
        <f>RDG!J51</f>
        <v>25</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2569064.73</v>
      </c>
      <c r="I178" s="4">
        <f t="shared" si="7"/>
        <v>0</v>
      </c>
      <c r="J178" s="31">
        <f>RDG!I60</f>
        <v>156585</v>
      </c>
      <c r="K178" s="31">
        <f>RDG!J60</f>
        <v>647432</v>
      </c>
    </row>
    <row r="179" spans="4:11" ht="12.75">
      <c r="D179" s="4" t="s">
        <v>541</v>
      </c>
      <c r="E179" s="4">
        <v>2</v>
      </c>
      <c r="F179" s="4">
        <f>RDG!G61</f>
        <v>178</v>
      </c>
      <c r="G179" s="4">
        <f>IF(RDG!H61=0,"",RDG!H61)</f>
      </c>
      <c r="H179" s="30">
        <f t="shared" si="6"/>
        <v>6398809.86</v>
      </c>
      <c r="I179" s="4">
        <f t="shared" si="7"/>
        <v>0</v>
      </c>
      <c r="J179" s="31">
        <f>RDG!I61</f>
        <v>970801</v>
      </c>
      <c r="K179" s="31">
        <f>RDG!J61</f>
        <v>1312018</v>
      </c>
    </row>
    <row r="180" spans="4:11" ht="12.75">
      <c r="D180" s="4" t="s">
        <v>541</v>
      </c>
      <c r="E180" s="4">
        <v>2</v>
      </c>
      <c r="F180" s="4">
        <f>RDG!G62</f>
        <v>179</v>
      </c>
      <c r="G180" s="4">
        <f>IF(RDG!H62=0,"",RDG!H62)</f>
      </c>
      <c r="H180" s="30">
        <f t="shared" si="6"/>
        <v>-3836664.5199999996</v>
      </c>
      <c r="I180" s="4">
        <f t="shared" si="7"/>
        <v>0</v>
      </c>
      <c r="J180" s="31">
        <f>RDG!I62</f>
        <v>-814216</v>
      </c>
      <c r="K180" s="31">
        <f>RDG!J62</f>
        <v>-664586</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3879532.28</v>
      </c>
      <c r="I182" s="4">
        <f t="shared" si="7"/>
        <v>0</v>
      </c>
      <c r="J182" s="31">
        <f>RDG!I64</f>
        <v>814216</v>
      </c>
      <c r="K182" s="31">
        <f>RDG!J64</f>
        <v>664586</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-3922400.04</v>
      </c>
      <c r="I184" s="4">
        <f t="shared" si="7"/>
        <v>0</v>
      </c>
      <c r="J184" s="31">
        <f>RDG!I66</f>
        <v>-814216</v>
      </c>
      <c r="K184" s="31">
        <f>RDG!J66</f>
        <v>-664586</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3965267.8</v>
      </c>
      <c r="I186" s="4">
        <f t="shared" si="7"/>
        <v>0</v>
      </c>
      <c r="J186" s="31">
        <f>RDG!I68</f>
        <v>814216</v>
      </c>
      <c r="K186" s="31">
        <f>RDG!J68</f>
        <v>664586</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-4329643.76</v>
      </c>
      <c r="I203" s="4">
        <f t="shared" si="9"/>
        <v>0</v>
      </c>
      <c r="J203" s="31">
        <f>RDG!I89</f>
        <v>-814216</v>
      </c>
      <c r="K203" s="31">
        <f>RDG!J89</f>
        <v>-664586</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-4586850.32</v>
      </c>
      <c r="I215" s="4">
        <f t="shared" si="9"/>
        <v>0</v>
      </c>
      <c r="J215" s="31">
        <f>RDG!I101</f>
        <v>-814216</v>
      </c>
      <c r="K215" s="31">
        <f>RDG!J101</f>
        <v>-664586</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3062594.2600000002</v>
      </c>
      <c r="I242" s="4">
        <f t="shared" si="11"/>
        <v>0</v>
      </c>
      <c r="J242" s="31">
        <f>Dodatni!I35</f>
        <v>130000</v>
      </c>
      <c r="K242" s="31">
        <f>Dodatni!J35</f>
        <v>570393</v>
      </c>
    </row>
    <row r="243" spans="4:11" ht="12.75">
      <c r="D243" s="4" t="s">
        <v>1522</v>
      </c>
      <c r="E243" s="4">
        <v>3</v>
      </c>
      <c r="F243" s="4">
        <f>Dodatni!H37</f>
        <v>242</v>
      </c>
      <c r="H243" s="30">
        <f t="shared" si="10"/>
        <v>3075302.12</v>
      </c>
      <c r="I243" s="4">
        <f t="shared" si="11"/>
        <v>0</v>
      </c>
      <c r="J243" s="31">
        <f>Dodatni!I37</f>
        <v>130000</v>
      </c>
      <c r="K243" s="31">
        <f>Dodatni!J37</f>
        <v>570393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3446.92</v>
      </c>
      <c r="I275" s="4">
        <f aca="true" t="shared" si="13" ref="I275:I284">ABS(ROUND(J275,0)-J275)+ABS(ROUND(K275,0)-K275)</f>
        <v>0</v>
      </c>
      <c r="J275" s="31">
        <f>Dodatni!I73</f>
        <v>460</v>
      </c>
      <c r="K275" s="31">
        <f>Dodatni!J73</f>
        <v>399</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3437.57</v>
      </c>
      <c r="I278" s="4">
        <f t="shared" si="13"/>
        <v>0</v>
      </c>
      <c r="J278" s="31">
        <f>Dodatni!I76</f>
        <v>1191</v>
      </c>
      <c r="K278" s="31">
        <f>Dodatni!J76</f>
        <v>25</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3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3" activePane="bottomLeft" state="frozen"/>
      <selection pane="topLeft" activeCell="A2" sqref="A2"/>
      <selection pane="bottomLeft" activeCell="C64" sqref="C64:J64"/>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2353</v>
      </c>
      <c r="W2" s="231" t="str">
        <f>RefStr!C29</f>
        <v>TERRA MEDITERRANEA d.d.</v>
      </c>
      <c r="X2" s="209" t="s">
        <v>207</v>
      </c>
      <c r="Y2" s="231">
        <f>IF(RefStr!C54&lt;&gt;"",RefStr!C54,"")</f>
        <v>100</v>
      </c>
      <c r="Z2" s="209" t="s">
        <v>2325</v>
      </c>
      <c r="AA2" s="231" t="str">
        <f>IF(RefStr!B64="","",RefStr!B64)</f>
        <v>02996499</v>
      </c>
    </row>
    <row r="3" spans="1:27" ht="13.5" customHeight="1">
      <c r="A3" s="494" t="s">
        <v>2471</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f>RefStr!L21</f>
        <v>0</v>
      </c>
      <c r="V3" s="211" t="s">
        <v>2354</v>
      </c>
      <c r="W3" s="232">
        <f>RefStr!C31</f>
        <v>10000</v>
      </c>
      <c r="X3" s="211" t="s">
        <v>208</v>
      </c>
      <c r="Y3" s="232">
        <f>IF(RefStr!F54&lt;&gt;"",RefStr!F54,"")</f>
        <v>0</v>
      </c>
      <c r="Z3" s="211" t="s">
        <v>2326</v>
      </c>
      <c r="AA3" s="232" t="str">
        <f>IF(RefStr!B66="","",RefStr!B66)</f>
        <v>M.L.M. CENSEA j.d.o.o.</v>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21</v>
      </c>
      <c r="T4" s="211" t="s">
        <v>2717</v>
      </c>
      <c r="U4" s="232" t="str">
        <f>RefStr!C27</f>
        <v>98014881436</v>
      </c>
      <c r="V4" s="211" t="s">
        <v>2355</v>
      </c>
      <c r="W4" s="232" t="str">
        <f>RefStr!F31</f>
        <v>ZAGREB</v>
      </c>
      <c r="X4" s="234" t="s">
        <v>222</v>
      </c>
      <c r="Y4" s="235" t="str">
        <f>RefStr!I68</f>
        <v>DA</v>
      </c>
      <c r="Z4" s="211" t="s">
        <v>2569</v>
      </c>
      <c r="AA4" s="232" t="str">
        <f>RefStr!N19</f>
        <v>MSFI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2351</v>
      </c>
      <c r="U5" s="232" t="str">
        <f>RefStr!H27</f>
        <v>02058146</v>
      </c>
      <c r="V5" s="211" t="s">
        <v>2356</v>
      </c>
      <c r="W5" s="232" t="str">
        <f>RefStr!C33</f>
        <v>BUDMANIJEVA 3</v>
      </c>
      <c r="X5" s="234" t="s">
        <v>2516</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2352</v>
      </c>
      <c r="U6" s="232" t="str">
        <f>RefStr!M27</f>
        <v>130003769</v>
      </c>
      <c r="V6" s="211" t="s">
        <v>2567</v>
      </c>
      <c r="W6" s="232" t="str">
        <f>RefStr!L35</f>
        <v>012922213</v>
      </c>
      <c r="X6" s="211" t="s">
        <v>2513</v>
      </c>
      <c r="Y6" s="232" t="str">
        <f>RefStr!C68</f>
        <v>Sanja Babić</v>
      </c>
      <c r="Z6" s="211" t="s">
        <v>1415</v>
      </c>
      <c r="AA6" s="232">
        <f>RefStr!C46</f>
        <v>0</v>
      </c>
    </row>
    <row r="7" spans="1:27" ht="13.5" customHeight="1">
      <c r="A7" s="496"/>
      <c r="B7" s="497"/>
      <c r="C7" s="497"/>
      <c r="D7" s="497"/>
      <c r="E7" s="497"/>
      <c r="F7" s="497"/>
      <c r="G7" s="497"/>
      <c r="H7" s="497"/>
      <c r="I7" s="222" t="s">
        <v>16</v>
      </c>
      <c r="J7" s="224">
        <f>SUM(M12:M120)</f>
        <v>3</v>
      </c>
      <c r="N7" s="208" t="s">
        <v>542</v>
      </c>
      <c r="O7" s="211">
        <f>PK!AA1</f>
        <v>0</v>
      </c>
      <c r="P7" s="212">
        <f>PK!AA2</f>
        <v>0</v>
      </c>
      <c r="Q7" s="232">
        <f>PK!AA3</f>
        <v>0</v>
      </c>
      <c r="R7" s="211" t="s">
        <v>2568</v>
      </c>
      <c r="S7" s="232">
        <f>IF(RefStr!C44&lt;&gt;"",IF(ISERROR(INT(RefStr!C44)),0,RefStr!C44),0)</f>
        <v>1</v>
      </c>
      <c r="T7" s="211" t="s">
        <v>1862</v>
      </c>
      <c r="U7" s="232">
        <f>RefStr!C7</f>
        <v>4</v>
      </c>
      <c r="V7" s="211" t="s">
        <v>1193</v>
      </c>
      <c r="W7" s="232" t="str">
        <f>TRIM(UPPER(RefStr!C35))</f>
        <v>INFO@TERRAMEDITERRANEA.HR</v>
      </c>
      <c r="X7" s="211" t="s">
        <v>2514</v>
      </c>
      <c r="Y7" s="232" t="str">
        <f>RefStr!C70</f>
        <v>012922213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Dioničko društvo</v>
      </c>
      <c r="V8" s="211" t="s">
        <v>2573</v>
      </c>
      <c r="W8" s="232" t="str">
        <f>RefStr!C42</f>
        <v>6810</v>
      </c>
      <c r="X8" s="211" t="s">
        <v>2515</v>
      </c>
      <c r="Y8" s="232" t="str">
        <f>TRIM(UPPER(RefStr!C72))</f>
        <v>INFO@MLM-CENSEA.HR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v>
      </c>
      <c r="Q9" s="231">
        <f>RefStr!F58</f>
        <v>1</v>
      </c>
      <c r="R9" s="211" t="s">
        <v>1860</v>
      </c>
      <c r="S9" s="232">
        <f>IF(RefStr!F4&lt;&gt;"",RefStr!F4,0)</f>
        <v>44196</v>
      </c>
      <c r="T9" s="211" t="s">
        <v>1821</v>
      </c>
      <c r="U9" s="232">
        <f>RefStr!C39</f>
        <v>133</v>
      </c>
      <c r="V9" s="211" t="s">
        <v>1414</v>
      </c>
      <c r="W9" s="232" t="str">
        <f>RefStr!D42</f>
        <v>Kupnja i prodaja vlastitih nekretnina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2</v>
      </c>
      <c r="Q10" s="233">
        <f>RefStr!F56</f>
        <v>1</v>
      </c>
      <c r="R10" s="213" t="s">
        <v>1863</v>
      </c>
      <c r="S10" s="233">
        <f>RefStr!C23</f>
        <v>1</v>
      </c>
      <c r="T10" s="213" t="s">
        <v>2572</v>
      </c>
      <c r="U10" s="233" t="str">
        <f>RefStr!D39</f>
        <v>Zagreb</v>
      </c>
      <c r="V10" s="240"/>
      <c r="W10" s="241"/>
      <c r="X10" s="242" t="s">
        <v>1974</v>
      </c>
      <c r="Y10" s="243">
        <f>RefStr!F12</f>
        <v>2020</v>
      </c>
      <c r="Z10" s="213" t="s">
        <v>209</v>
      </c>
      <c r="AA10" s="233" t="str">
        <f>RefStr!A75</f>
        <v>Žagar Matija</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2570</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2531</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2530</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2563</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2564</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2565</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2566</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2571</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2532</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2511</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2327</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2328</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2665</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2665</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2895</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2896</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2538</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2894</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90" t="s">
        <v>2533</v>
      </c>
      <c r="D91" s="490"/>
      <c r="E91" s="490"/>
      <c r="F91" s="490"/>
      <c r="G91" s="490"/>
      <c r="H91" s="490"/>
      <c r="I91" s="490"/>
      <c r="J91" s="490"/>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Provjera</v>
      </c>
      <c r="C92" s="490" t="s">
        <v>2534</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2535</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2536</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2537</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2905</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2906</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2242</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Z:\ZR_2020 godina\TERRA MEDITERANEA-2020\[GFI-POD Terra Mediterranea2020.xls]RDG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0" activePane="bottomLeft" state="frozen"/>
      <selection pane="topLeft" activeCell="A1" sqref="A1"/>
      <selection pane="bottomLeft" activeCell="D17" sqref="D17:N1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2174</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2727</v>
      </c>
      <c r="F12" s="329">
        <v>2020</v>
      </c>
      <c r="G12" s="330"/>
      <c r="H12" s="322" t="s">
        <v>2105</v>
      </c>
      <c r="I12" s="323"/>
      <c r="J12" s="323"/>
      <c r="K12" s="156"/>
      <c r="L12" s="156"/>
      <c r="M12" s="156"/>
      <c r="N12" s="156"/>
      <c r="P12" s="54" t="s">
        <v>2352</v>
      </c>
      <c r="Q12" s="55">
        <f>INT(VALUE(H27))/10</f>
        <v>205814.6</v>
      </c>
    </row>
    <row r="13" spans="4:17" ht="9.75" customHeight="1">
      <c r="D13" s="156"/>
      <c r="E13" s="162"/>
      <c r="H13" s="27"/>
      <c r="I13" s="163"/>
      <c r="J13" s="163"/>
      <c r="K13" s="156"/>
      <c r="L13" s="156"/>
      <c r="M13" s="156"/>
      <c r="N13" s="156"/>
      <c r="P13" s="54" t="s">
        <v>2352</v>
      </c>
      <c r="Q13" s="55">
        <f>INT(VALUE(M27))/50</f>
        <v>2600075.38</v>
      </c>
    </row>
    <row r="14" spans="1:17" ht="15">
      <c r="A14" s="321" t="s">
        <v>2713</v>
      </c>
      <c r="B14" s="321"/>
      <c r="C14" s="321"/>
      <c r="D14" s="164"/>
      <c r="E14" s="165"/>
      <c r="F14" s="319"/>
      <c r="G14" s="320"/>
      <c r="H14" s="320"/>
      <c r="I14" s="156"/>
      <c r="J14" s="327" t="s">
        <v>2100</v>
      </c>
      <c r="K14" s="328"/>
      <c r="L14" s="328"/>
      <c r="M14" s="328"/>
      <c r="N14" s="328"/>
      <c r="P14" s="54" t="s">
        <v>2717</v>
      </c>
      <c r="Q14" s="55">
        <f>INT(VALUE(C27))/100</f>
        <v>980148814.36</v>
      </c>
    </row>
    <row r="15" spans="1:17" ht="19.5" customHeight="1">
      <c r="A15" s="324">
        <f>Skriveni!B59</f>
        <v>1072135792.97</v>
      </c>
      <c r="B15" s="325"/>
      <c r="C15" s="326"/>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100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2715</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2965</v>
      </c>
      <c r="P19" s="54" t="s">
        <v>1820</v>
      </c>
      <c r="Q19" s="55">
        <f>LEN(Skriveni!B12)</f>
        <v>13</v>
      </c>
    </row>
    <row r="20" spans="1:17" ht="4.5" customHeight="1">
      <c r="A20" s="13"/>
      <c r="B20" s="47"/>
      <c r="C20" s="34"/>
      <c r="I20" s="34"/>
      <c r="M20" s="146"/>
      <c r="N20" s="166"/>
      <c r="Q20" s="55"/>
    </row>
    <row r="21" spans="1:17" ht="15" customHeight="1">
      <c r="A21" s="272" t="s">
        <v>2108</v>
      </c>
      <c r="B21" s="280"/>
      <c r="C21" s="36" t="s">
        <v>2618</v>
      </c>
      <c r="D21" s="193" t="s">
        <v>2111</v>
      </c>
      <c r="E21" s="282" t="s">
        <v>2109</v>
      </c>
      <c r="F21" s="298"/>
      <c r="G21" s="298"/>
      <c r="H21" s="333"/>
      <c r="I21" s="36" t="s">
        <v>2618</v>
      </c>
      <c r="J21" s="374" t="s">
        <v>2110</v>
      </c>
      <c r="K21" s="373"/>
      <c r="L21" s="274"/>
      <c r="M21" s="342"/>
      <c r="N21" s="277"/>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2916</v>
      </c>
      <c r="Q23" s="55">
        <f>INT(VALUE(C42))</f>
        <v>6810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2952</v>
      </c>
      <c r="D27" s="276"/>
      <c r="E27" s="277"/>
      <c r="F27" s="279" t="s">
        <v>2405</v>
      </c>
      <c r="G27" s="343"/>
      <c r="H27" s="274" t="s">
        <v>2953</v>
      </c>
      <c r="I27" s="275"/>
      <c r="J27" s="279" t="s">
        <v>2099</v>
      </c>
      <c r="K27" s="280"/>
      <c r="L27" s="344"/>
      <c r="M27" s="274" t="s">
        <v>2954</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2714</v>
      </c>
      <c r="B29" s="283"/>
      <c r="C29" s="316" t="s">
        <v>2955</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10000</v>
      </c>
      <c r="D31" s="335" t="s">
        <v>693</v>
      </c>
      <c r="E31" s="336"/>
      <c r="F31" s="316" t="s">
        <v>2956</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133</v>
      </c>
      <c r="D39" s="348" t="str">
        <f>IF(C39="","Šifra grada/općine nije upisana",IF(ISNA(LOOKUP(C39,A177:A732,A177:A732)),"Šifra grada/općine ne postoji",IF(LOOKUP(C39,A177:A732,A177:A732)&lt;&gt;C39,"Šifra grada/općine ne postoji",LOOKUP(C39,A177:A732,B177:B732))))</f>
        <v>Zagreb</v>
      </c>
      <c r="E39" s="349"/>
      <c r="F39" s="349"/>
      <c r="G39" s="349"/>
      <c r="H39" s="272" t="s">
        <v>2221</v>
      </c>
      <c r="I39" s="344"/>
      <c r="J39" s="58">
        <f>IF(C39&gt;0,LOOKUP(C39,A177:A732,C177:C732),"")</f>
        <v>21</v>
      </c>
      <c r="K39" s="351" t="str">
        <f>IF(J39="","Treba prvo upisati šifru grada/općine",LOOKUP(J39,A153:A173,B153:B173))</f>
        <v>GRAD ZAGREB</v>
      </c>
      <c r="L39" s="351"/>
      <c r="M39" s="351"/>
      <c r="N39" s="351"/>
      <c r="P39" s="54" t="s">
        <v>1826</v>
      </c>
      <c r="Q39" s="55">
        <f>C56+2*F56+3*C58+4*F58</f>
        <v>11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2368</v>
      </c>
      <c r="B42" s="283"/>
      <c r="C42" s="41" t="s">
        <v>976</v>
      </c>
      <c r="D42" s="353" t="str">
        <f>IF(C42="","Šifra NKD-a nije upisana",IF(ISNA(LOOKUP(C42,A736:A1351,A736:A1351)),"Šifra NKD-a ne postoji",IF(LOOKUP(C42,A736:A1351,A736:A1351)&lt;&gt;C42,"Šifra NKD-a ne postoji",LOOKUP(C42,A736:A1351,B736:B1351))))</f>
        <v>Kupnja i prodaja vlastitih nekretnina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2716</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2575</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21</v>
      </c>
      <c r="D52" s="352" t="str">
        <f>IF(C52="","Oznaka vlasništva nije upisana",IF(ISNA(LOOKUP(C52,A80:A87,A80:A87)),"Nepostojeća oznaka vlasništva",IF(LOOKUP(C52,A80:A87,A80:A87)&lt;&gt;C52,"Nepostojeća oznaka vlasništva",LOOKUP(C52,A80:A87,B80:B87))))</f>
        <v>Privatno od osnivanja</v>
      </c>
      <c r="E52" s="298"/>
      <c r="F52" s="298"/>
      <c r="G52" s="298"/>
      <c r="H52" s="298"/>
      <c r="I52" s="5" t="str">
        <f>IF(OR(Bilanca!Q1=1,RDG!Q1=1,N6="NE"),"DA","NE")</f>
        <v>DA</v>
      </c>
      <c r="J52" s="350" t="s">
        <v>242</v>
      </c>
      <c r="K52" s="312"/>
      <c r="L52" s="312"/>
      <c r="M52" s="312"/>
      <c r="N52" s="312"/>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2568</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v>
      </c>
      <c r="D56" s="270" t="s">
        <v>2897</v>
      </c>
      <c r="E56" s="380"/>
      <c r="F56" s="44">
        <v>1</v>
      </c>
      <c r="G56" s="270" t="s">
        <v>2898</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2225</v>
      </c>
      <c r="B58" s="269"/>
      <c r="C58" s="44">
        <v>1</v>
      </c>
      <c r="D58" s="278" t="s">
        <v>2897</v>
      </c>
      <c r="E58" s="278"/>
      <c r="F58" s="44">
        <v>1</v>
      </c>
      <c r="G58" s="278" t="s">
        <v>2898</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2897</v>
      </c>
      <c r="E60" s="278"/>
      <c r="F60" s="44">
        <v>12</v>
      </c>
      <c r="G60" s="278" t="s">
        <v>2898</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2618</v>
      </c>
      <c r="J62" s="358" t="s">
        <v>2718</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t="s">
        <v>2960</v>
      </c>
      <c r="C64" s="359" t="s">
        <v>2116</v>
      </c>
      <c r="D64" s="298"/>
      <c r="E64" s="298"/>
      <c r="F64" s="298"/>
      <c r="G64" s="156"/>
      <c r="H64" s="156"/>
      <c r="I64" s="226" t="s">
        <v>2618</v>
      </c>
      <c r="J64" s="358" t="s">
        <v>2719</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2224</v>
      </c>
      <c r="B66" s="360" t="s">
        <v>2961</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2574</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41" operator="equal" stopIfTrue="1">
      <formula>"DA"</formula>
    </cfRule>
  </conditionalFormatting>
  <conditionalFormatting sqref="F4:G4">
    <cfRule type="cellIs" priority="2" dxfId="38" operator="lessThan" stopIfTrue="1">
      <formula>$C$4</formula>
    </cfRule>
  </conditionalFormatting>
  <conditionalFormatting sqref="D44:N44">
    <cfRule type="cellIs" priority="5" dxfId="30" operator="equal" stopIfTrue="1">
      <formula>"Upisana je nepostojeća ili neprepoznatljiva šifra statusa autonomnosti"</formula>
    </cfRule>
  </conditionalFormatting>
  <conditionalFormatting sqref="N25 D17:N18 D26:N26">
    <cfRule type="cellIs" priority="6" dxfId="30" operator="equal" stopIfTrue="1">
      <formula>"Upisana je nepostojeća ili neprepoznatljiva vrsta izvještaja"</formula>
    </cfRule>
  </conditionalFormatting>
  <conditionalFormatting sqref="C20 D19 I20">
    <cfRule type="cellIs" priority="7" dxfId="30" operator="equal" stopIfTrue="1">
      <formula>"Nepostojeća ili neprepoznatljiva svrha predaje"</formula>
    </cfRule>
  </conditionalFormatting>
  <conditionalFormatting sqref="D42:N42">
    <cfRule type="cellIs" priority="8" dxfId="30" operator="equal" stopIfTrue="1">
      <formula>"Šifra NKD-a ne postoji"</formula>
    </cfRule>
  </conditionalFormatting>
  <conditionalFormatting sqref="E51:G51 D50:D51">
    <cfRule type="cellIs" priority="9" dxfId="30" operator="equal" stopIfTrue="1">
      <formula>"Nepostojeća oznaka veličine"</formula>
    </cfRule>
  </conditionalFormatting>
  <conditionalFormatting sqref="D52:H52">
    <cfRule type="cellIs" priority="10" dxfId="30" operator="equal" stopIfTrue="1">
      <formula>"Nepostojeća oznaka vlasništva"</formula>
    </cfRule>
  </conditionalFormatting>
  <conditionalFormatting sqref="D7:N7">
    <cfRule type="cellIs" priority="11" dxfId="30" operator="equal" stopIfTrue="1">
      <formula>"Upisana je nepostojeća ili neprepoznatljiva vrsta poslovnog subjekta"</formula>
    </cfRule>
  </conditionalFormatting>
  <conditionalFormatting sqref="D39:G39">
    <cfRule type="cellIs" priority="12" dxfId="30"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60" zoomScaleNormal="160" zoomScalePageLayoutView="0" workbookViewId="0" topLeftCell="A1">
      <pane ySplit="1" topLeftCell="A110" activePane="bottomLeft" state="frozen"/>
      <selection pane="topLeft" activeCell="A1" sqref="A1"/>
      <selection pane="bottomLeft" activeCell="J92" sqref="J9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0" t="s">
        <v>138</v>
      </c>
      <c r="B2" s="391"/>
      <c r="C2" s="391"/>
      <c r="D2" s="391"/>
      <c r="E2" s="391"/>
      <c r="F2" s="391"/>
      <c r="G2" s="391"/>
      <c r="H2" s="391"/>
      <c r="I2" s="392"/>
      <c r="J2" s="388" t="s">
        <v>2589</v>
      </c>
      <c r="Q2" s="74">
        <f>IF(OR(MIN(I9:I133)&lt;0,MAX(I9:I133)&gt;0),1,0)</f>
        <v>1</v>
      </c>
      <c r="R2" s="73" t="s">
        <v>2585</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2586</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98014881436; TERRA MEDITERRANEA d.d.</v>
      </c>
      <c r="B5" s="397"/>
      <c r="C5" s="397"/>
      <c r="D5" s="397"/>
      <c r="E5" s="397"/>
      <c r="F5" s="397"/>
      <c r="G5" s="397"/>
      <c r="H5" s="397"/>
      <c r="I5" s="397"/>
      <c r="J5" s="398"/>
      <c r="Q5" s="2">
        <f>IF(I96&lt;&gt;0,1,0)</f>
        <v>0</v>
      </c>
      <c r="R5" s="73" t="s">
        <v>2587</v>
      </c>
    </row>
    <row r="6" spans="1:18" ht="24.75" customHeight="1" thickBot="1">
      <c r="A6" s="399" t="s">
        <v>719</v>
      </c>
      <c r="B6" s="400"/>
      <c r="C6" s="400"/>
      <c r="D6" s="400"/>
      <c r="E6" s="400"/>
      <c r="F6" s="400"/>
      <c r="G6" s="102" t="s">
        <v>799</v>
      </c>
      <c r="H6" s="102" t="s">
        <v>1968</v>
      </c>
      <c r="I6" s="102" t="s">
        <v>2291</v>
      </c>
      <c r="J6" s="103" t="s">
        <v>2292</v>
      </c>
      <c r="Q6" s="2">
        <f>IF(J96&lt;&gt;0,1,0)</f>
        <v>0</v>
      </c>
      <c r="R6" s="73" t="s">
        <v>2588</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2687441</v>
      </c>
      <c r="J10" s="70">
        <f>J11+J18+J28+J39+J44</f>
        <v>1343699</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2687441</v>
      </c>
      <c r="J18" s="70">
        <f>SUM(J19:J27)</f>
        <v>1343699</v>
      </c>
    </row>
    <row r="19" spans="1:10" ht="13.5" customHeight="1">
      <c r="A19" s="383" t="s">
        <v>2175</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2176</v>
      </c>
      <c r="B21" s="383"/>
      <c r="C21" s="383"/>
      <c r="D21" s="383"/>
      <c r="E21" s="383"/>
      <c r="F21" s="383"/>
      <c r="G21" s="19">
        <v>13</v>
      </c>
      <c r="H21" s="20"/>
      <c r="I21" s="71">
        <v>958</v>
      </c>
      <c r="J21" s="71">
        <v>458</v>
      </c>
    </row>
    <row r="22" spans="1:10" ht="13.5" customHeight="1">
      <c r="A22" s="383" t="s">
        <v>2289</v>
      </c>
      <c r="B22" s="383"/>
      <c r="C22" s="383"/>
      <c r="D22" s="383"/>
      <c r="E22" s="383"/>
      <c r="F22" s="383"/>
      <c r="G22" s="19">
        <v>14</v>
      </c>
      <c r="H22" s="20"/>
      <c r="I22" s="71"/>
      <c r="J22" s="71"/>
    </row>
    <row r="23" spans="1:10" ht="13.5" customHeight="1">
      <c r="A23" s="383" t="s">
        <v>2290</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v>2686483</v>
      </c>
      <c r="J27" s="71">
        <v>1343241</v>
      </c>
    </row>
    <row r="28" spans="1:10" ht="13.5" customHeight="1">
      <c r="A28" s="384" t="s">
        <v>2643</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2644</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2645</v>
      </c>
      <c r="B45" s="381"/>
      <c r="C45" s="381"/>
      <c r="D45" s="381"/>
      <c r="E45" s="381"/>
      <c r="F45" s="381"/>
      <c r="G45" s="19">
        <v>37</v>
      </c>
      <c r="H45" s="20"/>
      <c r="I45" s="70">
        <f>I46+I54+I61+I71</f>
        <v>100702</v>
      </c>
      <c r="J45" s="70">
        <f>J46+J54+J61+J71</f>
        <v>498066</v>
      </c>
    </row>
    <row r="46" spans="1:10" ht="13.5" customHeight="1">
      <c r="A46" s="384" t="s">
        <v>2646</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2647</v>
      </c>
      <c r="B54" s="384"/>
      <c r="C54" s="384"/>
      <c r="D54" s="384"/>
      <c r="E54" s="384"/>
      <c r="F54" s="384"/>
      <c r="G54" s="19">
        <v>46</v>
      </c>
      <c r="H54" s="20"/>
      <c r="I54" s="70">
        <f>SUM(I55:I60)</f>
        <v>2431</v>
      </c>
      <c r="J54" s="70">
        <f>SUM(J55:J60)</f>
        <v>1295</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2635</v>
      </c>
      <c r="B57" s="383"/>
      <c r="C57" s="383"/>
      <c r="D57" s="383"/>
      <c r="E57" s="383"/>
      <c r="F57" s="383"/>
      <c r="G57" s="19">
        <v>49</v>
      </c>
      <c r="H57" s="20"/>
      <c r="I57" s="71">
        <v>1153</v>
      </c>
      <c r="J57" s="71"/>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1278</v>
      </c>
      <c r="J59" s="71">
        <v>1295</v>
      </c>
    </row>
    <row r="60" spans="1:10" ht="13.5" customHeight="1">
      <c r="A60" s="383" t="s">
        <v>2637</v>
      </c>
      <c r="B60" s="383"/>
      <c r="C60" s="383"/>
      <c r="D60" s="383"/>
      <c r="E60" s="383"/>
      <c r="F60" s="383"/>
      <c r="G60" s="19">
        <v>52</v>
      </c>
      <c r="H60" s="20"/>
      <c r="I60" s="71"/>
      <c r="J60" s="71"/>
    </row>
    <row r="61" spans="1:10" ht="13.5" customHeight="1">
      <c r="A61" s="384" t="s">
        <v>2648</v>
      </c>
      <c r="B61" s="384"/>
      <c r="C61" s="384"/>
      <c r="D61" s="384"/>
      <c r="E61" s="384"/>
      <c r="F61" s="384"/>
      <c r="G61" s="19">
        <v>53</v>
      </c>
      <c r="H61" s="20"/>
      <c r="I61" s="70">
        <f>SUM(I62:I70)</f>
        <v>25751</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25751</v>
      </c>
      <c r="J69" s="71"/>
    </row>
    <row r="70" spans="1:10" ht="13.5" customHeight="1">
      <c r="A70" s="383" t="s">
        <v>1038</v>
      </c>
      <c r="B70" s="383"/>
      <c r="C70" s="383"/>
      <c r="D70" s="383"/>
      <c r="E70" s="383"/>
      <c r="F70" s="383"/>
      <c r="G70" s="19">
        <v>62</v>
      </c>
      <c r="H70" s="20"/>
      <c r="I70" s="71"/>
      <c r="J70" s="71"/>
    </row>
    <row r="71" spans="1:10" ht="13.5" customHeight="1">
      <c r="A71" s="384" t="s">
        <v>2394</v>
      </c>
      <c r="B71" s="384"/>
      <c r="C71" s="384"/>
      <c r="D71" s="384"/>
      <c r="E71" s="384"/>
      <c r="F71" s="384"/>
      <c r="G71" s="19">
        <v>63</v>
      </c>
      <c r="H71" s="20"/>
      <c r="I71" s="71">
        <v>72520</v>
      </c>
      <c r="J71" s="71">
        <v>496771</v>
      </c>
    </row>
    <row r="72" spans="1:10" ht="24.75" customHeight="1">
      <c r="A72" s="381" t="s">
        <v>1558</v>
      </c>
      <c r="B72" s="381"/>
      <c r="C72" s="381"/>
      <c r="D72" s="381"/>
      <c r="E72" s="381"/>
      <c r="F72" s="381"/>
      <c r="G72" s="19">
        <v>64</v>
      </c>
      <c r="H72" s="20"/>
      <c r="I72" s="71">
        <v>6667</v>
      </c>
      <c r="J72" s="71"/>
    </row>
    <row r="73" spans="1:10" ht="13.5" customHeight="1">
      <c r="A73" s="381" t="s">
        <v>2649</v>
      </c>
      <c r="B73" s="381"/>
      <c r="C73" s="381"/>
      <c r="D73" s="381"/>
      <c r="E73" s="381"/>
      <c r="F73" s="381"/>
      <c r="G73" s="19">
        <v>65</v>
      </c>
      <c r="H73" s="20"/>
      <c r="I73" s="70">
        <f>I9+I10+I45+I72</f>
        <v>2794810</v>
      </c>
      <c r="J73" s="70">
        <f>J9+J10+J45+J72</f>
        <v>1841765</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2650</v>
      </c>
      <c r="B76" s="381"/>
      <c r="C76" s="381"/>
      <c r="D76" s="381"/>
      <c r="E76" s="381"/>
      <c r="F76" s="381"/>
      <c r="G76" s="19">
        <v>67</v>
      </c>
      <c r="H76" s="20"/>
      <c r="I76" s="70">
        <f>I77+I78+I79+I85+I86+I90+I93+I96</f>
        <v>2709174</v>
      </c>
      <c r="J76" s="70">
        <f>J77+J78+J79+J85+J86+J90+J93+J96</f>
        <v>1828363</v>
      </c>
      <c r="L76" s="2" t="s">
        <v>2590</v>
      </c>
    </row>
    <row r="77" spans="1:10" ht="13.5" customHeight="1">
      <c r="A77" s="384" t="s">
        <v>935</v>
      </c>
      <c r="B77" s="384"/>
      <c r="C77" s="384"/>
      <c r="D77" s="384"/>
      <c r="E77" s="384"/>
      <c r="F77" s="384"/>
      <c r="G77" s="19">
        <v>68</v>
      </c>
      <c r="H77" s="20"/>
      <c r="I77" s="71">
        <v>23099700</v>
      </c>
      <c r="J77" s="71">
        <v>23099700</v>
      </c>
    </row>
    <row r="78" spans="1:12" ht="13.5" customHeight="1">
      <c r="A78" s="384" t="s">
        <v>936</v>
      </c>
      <c r="B78" s="384"/>
      <c r="C78" s="384"/>
      <c r="D78" s="384"/>
      <c r="E78" s="384"/>
      <c r="F78" s="384"/>
      <c r="G78" s="19">
        <v>69</v>
      </c>
      <c r="H78" s="20"/>
      <c r="I78" s="71"/>
      <c r="J78" s="71"/>
      <c r="L78" s="2" t="s">
        <v>2590</v>
      </c>
    </row>
    <row r="79" spans="1:12" ht="13.5" customHeight="1">
      <c r="A79" s="384" t="s">
        <v>2472</v>
      </c>
      <c r="B79" s="384"/>
      <c r="C79" s="384"/>
      <c r="D79" s="384"/>
      <c r="E79" s="384"/>
      <c r="F79" s="384"/>
      <c r="G79" s="19">
        <v>70</v>
      </c>
      <c r="H79" s="20"/>
      <c r="I79" s="70">
        <f>I80+I81-I82+I83+I84</f>
        <v>0</v>
      </c>
      <c r="J79" s="70">
        <f>J80+J81-J82+J83+J84</f>
        <v>0</v>
      </c>
      <c r="L79" s="2" t="s">
        <v>2590</v>
      </c>
    </row>
    <row r="80" spans="1:10" ht="13.5" customHeight="1">
      <c r="A80" s="383" t="s">
        <v>2640</v>
      </c>
      <c r="B80" s="383"/>
      <c r="C80" s="383"/>
      <c r="D80" s="383"/>
      <c r="E80" s="383"/>
      <c r="F80" s="383"/>
      <c r="G80" s="19">
        <v>71</v>
      </c>
      <c r="H80" s="20"/>
      <c r="I80" s="71"/>
      <c r="J80" s="71"/>
    </row>
    <row r="81" spans="1:10" ht="13.5" customHeight="1">
      <c r="A81" s="383" t="s">
        <v>2641</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v>432446</v>
      </c>
      <c r="J85" s="71">
        <v>216223</v>
      </c>
      <c r="L85" s="2" t="s">
        <v>2590</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2651</v>
      </c>
      <c r="B90" s="384"/>
      <c r="C90" s="384"/>
      <c r="D90" s="384"/>
      <c r="E90" s="384"/>
      <c r="F90" s="384"/>
      <c r="G90" s="19">
        <v>81</v>
      </c>
      <c r="H90" s="20"/>
      <c r="I90" s="70">
        <f>I91-I92</f>
        <v>-20008756</v>
      </c>
      <c r="J90" s="70">
        <f>J91-J92</f>
        <v>-20822974</v>
      </c>
      <c r="L90" s="2" t="s">
        <v>2590</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20008756</v>
      </c>
      <c r="J92" s="71">
        <v>20822974</v>
      </c>
    </row>
    <row r="93" spans="1:12" ht="13.5" customHeight="1">
      <c r="A93" s="384" t="s">
        <v>2652</v>
      </c>
      <c r="B93" s="384"/>
      <c r="C93" s="384"/>
      <c r="D93" s="384"/>
      <c r="E93" s="384"/>
      <c r="F93" s="384"/>
      <c r="G93" s="19">
        <v>84</v>
      </c>
      <c r="H93" s="20"/>
      <c r="I93" s="70">
        <f>I94-I95</f>
        <v>-814216</v>
      </c>
      <c r="J93" s="70">
        <f>J94-J95</f>
        <v>-664586</v>
      </c>
      <c r="L93" s="2" t="s">
        <v>2590</v>
      </c>
    </row>
    <row r="94" spans="1:10" ht="13.5" customHeight="1">
      <c r="A94" s="383" t="s">
        <v>2639</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814216</v>
      </c>
      <c r="J95" s="71">
        <v>664586</v>
      </c>
    </row>
    <row r="96" spans="1:12" ht="13.5" customHeight="1">
      <c r="A96" s="384" t="s">
        <v>2190</v>
      </c>
      <c r="B96" s="384"/>
      <c r="C96" s="384"/>
      <c r="D96" s="384"/>
      <c r="E96" s="384"/>
      <c r="F96" s="384"/>
      <c r="G96" s="19">
        <v>87</v>
      </c>
      <c r="H96" s="20"/>
      <c r="I96" s="71"/>
      <c r="J96" s="71"/>
      <c r="L96" s="2" t="s">
        <v>2590</v>
      </c>
    </row>
    <row r="97" spans="1:10" ht="13.5" customHeight="1">
      <c r="A97" s="381" t="s">
        <v>2653</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2638</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2191</v>
      </c>
      <c r="B103" s="383"/>
      <c r="C103" s="383"/>
      <c r="D103" s="383"/>
      <c r="E103" s="383"/>
      <c r="F103" s="383"/>
      <c r="G103" s="19">
        <v>94</v>
      </c>
      <c r="H103" s="20"/>
      <c r="I103" s="71"/>
      <c r="J103" s="71"/>
    </row>
    <row r="104" spans="1:10" ht="13.5" customHeight="1">
      <c r="A104" s="381" t="s">
        <v>2654</v>
      </c>
      <c r="B104" s="381"/>
      <c r="C104" s="381"/>
      <c r="D104" s="381"/>
      <c r="E104" s="381"/>
      <c r="F104" s="381"/>
      <c r="G104" s="19">
        <v>95</v>
      </c>
      <c r="H104" s="20"/>
      <c r="I104" s="70">
        <f>SUM(I105:I115)</f>
        <v>0</v>
      </c>
      <c r="J104" s="70">
        <f>SUM(J105:J115)</f>
        <v>0</v>
      </c>
    </row>
    <row r="105" spans="1:10" ht="13.5" customHeight="1">
      <c r="A105" s="383" t="s">
        <v>2192</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2655</v>
      </c>
      <c r="B116" s="381"/>
      <c r="C116" s="381"/>
      <c r="D116" s="381"/>
      <c r="E116" s="381"/>
      <c r="F116" s="381"/>
      <c r="G116" s="19">
        <v>107</v>
      </c>
      <c r="H116" s="20"/>
      <c r="I116" s="70">
        <f>SUM(I117:I130)</f>
        <v>85636</v>
      </c>
      <c r="J116" s="70">
        <f>SUM(J117:J130)</f>
        <v>13402</v>
      </c>
    </row>
    <row r="117" spans="1:10" ht="13.5" customHeight="1">
      <c r="A117" s="383" t="s">
        <v>2192</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46680</v>
      </c>
      <c r="J124" s="71">
        <v>4647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4666</v>
      </c>
      <c r="J126" s="71">
        <v>4560</v>
      </c>
    </row>
    <row r="127" spans="1:10" ht="13.5" customHeight="1">
      <c r="A127" s="383" t="s">
        <v>364</v>
      </c>
      <c r="B127" s="383"/>
      <c r="C127" s="383"/>
      <c r="D127" s="383"/>
      <c r="E127" s="383"/>
      <c r="F127" s="383"/>
      <c r="G127" s="19">
        <v>118</v>
      </c>
      <c r="H127" s="20"/>
      <c r="I127" s="71">
        <v>2334</v>
      </c>
      <c r="J127" s="71">
        <v>3126</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31956</v>
      </c>
      <c r="J130" s="71">
        <v>1069</v>
      </c>
    </row>
    <row r="131" spans="1:10" ht="24.75" customHeight="1">
      <c r="A131" s="381" t="s">
        <v>1560</v>
      </c>
      <c r="B131" s="381"/>
      <c r="C131" s="381"/>
      <c r="D131" s="381"/>
      <c r="E131" s="381"/>
      <c r="F131" s="381"/>
      <c r="G131" s="19">
        <v>122</v>
      </c>
      <c r="H131" s="20"/>
      <c r="I131" s="71"/>
      <c r="J131" s="71"/>
    </row>
    <row r="132" spans="1:10" ht="13.5" customHeight="1">
      <c r="A132" s="381" t="s">
        <v>2656</v>
      </c>
      <c r="B132" s="381"/>
      <c r="C132" s="381"/>
      <c r="D132" s="381"/>
      <c r="E132" s="381"/>
      <c r="F132" s="381"/>
      <c r="G132" s="19">
        <v>123</v>
      </c>
      <c r="H132" s="20"/>
      <c r="I132" s="70">
        <f>I76+I97+I104+I116+I131</f>
        <v>2794810</v>
      </c>
      <c r="J132" s="70">
        <f>J76+J97+J104+J116+J131</f>
        <v>1841765</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17" activePane="bottomLeft" state="frozen"/>
      <selection pane="topLeft" activeCell="A1" sqref="A1"/>
      <selection pane="bottomLeft" activeCell="I51" sqref="I51:J5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2591</v>
      </c>
      <c r="Q2" s="74">
        <f>IF(OR(MIN(I8:I105)&lt;0,MAX(I8:I105)&gt;0),1,0)</f>
        <v>1</v>
      </c>
      <c r="R2" s="73" t="s">
        <v>2585</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98014881436; TERRA MEDITERRANEA d.d.</v>
      </c>
      <c r="B5" s="411"/>
      <c r="C5" s="411"/>
      <c r="D5" s="411"/>
      <c r="E5" s="411"/>
      <c r="F5" s="411"/>
      <c r="G5" s="411"/>
      <c r="H5" s="411"/>
      <c r="I5" s="411"/>
      <c r="J5" s="412"/>
      <c r="Q5" s="2">
        <f>IF(OR(MIN(I85:I87,I103:I105)&lt;0,MAX(I85:I87,I103:I105)&gt;0),1,0)</f>
        <v>0</v>
      </c>
      <c r="R5" s="73" t="s">
        <v>2587</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2588</v>
      </c>
    </row>
    <row r="7" spans="1:18" s="2" customFormat="1" ht="13.5" customHeight="1">
      <c r="A7" s="401">
        <v>1</v>
      </c>
      <c r="B7" s="402"/>
      <c r="C7" s="402"/>
      <c r="D7" s="402"/>
      <c r="E7" s="402"/>
      <c r="F7" s="402"/>
      <c r="G7" s="105">
        <v>2</v>
      </c>
      <c r="H7" s="105">
        <v>3</v>
      </c>
      <c r="I7" s="104">
        <v>4</v>
      </c>
      <c r="J7" s="106">
        <v>5</v>
      </c>
      <c r="Q7" s="2">
        <f>IF(OR(MIN(RDG!I89:J101)&lt;0,MAX(RDG!I89:J101)&gt;0),1,0)</f>
        <v>1</v>
      </c>
      <c r="R7" s="73" t="s">
        <v>800</v>
      </c>
    </row>
    <row r="8" spans="1:18" s="2" customFormat="1" ht="13.5" customHeight="1">
      <c r="A8" s="408" t="s">
        <v>1836</v>
      </c>
      <c r="B8" s="408"/>
      <c r="C8" s="408"/>
      <c r="D8" s="408"/>
      <c r="E8" s="408"/>
      <c r="F8" s="408"/>
      <c r="G8" s="17">
        <v>125</v>
      </c>
      <c r="H8" s="18"/>
      <c r="I8" s="84">
        <f>SUM(I9:I13)</f>
        <v>156125</v>
      </c>
      <c r="J8" s="84">
        <f>SUM(J9:J13)</f>
        <v>647033</v>
      </c>
      <c r="Q8" s="2">
        <f>IF(OR(MIN(I70:J75)&lt;&gt;0,MAX(I70:J75)&lt;&gt;0),1,0)</f>
        <v>0</v>
      </c>
      <c r="R8" s="73" t="s">
        <v>2596</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130000</v>
      </c>
      <c r="J10" s="71">
        <v>570393</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2509</v>
      </c>
      <c r="B13" s="383"/>
      <c r="C13" s="383"/>
      <c r="D13" s="383"/>
      <c r="E13" s="383"/>
      <c r="F13" s="383"/>
      <c r="G13" s="19">
        <v>130</v>
      </c>
      <c r="H13" s="20"/>
      <c r="I13" s="71">
        <v>26125</v>
      </c>
      <c r="J13" s="71">
        <v>76640</v>
      </c>
    </row>
    <row r="14" spans="1:10" s="2" customFormat="1" ht="13.5" customHeight="1">
      <c r="A14" s="381" t="s">
        <v>1837</v>
      </c>
      <c r="B14" s="381"/>
      <c r="C14" s="381"/>
      <c r="D14" s="381"/>
      <c r="E14" s="381"/>
      <c r="F14" s="381"/>
      <c r="G14" s="19">
        <v>131</v>
      </c>
      <c r="H14" s="20"/>
      <c r="I14" s="70">
        <f>I15+I16+I20+I24+I25+I26+I29+I36</f>
        <v>969610</v>
      </c>
      <c r="J14" s="70">
        <f>J15+J16+J20+J24+J25+J26+J29+J36</f>
        <v>1311993</v>
      </c>
    </row>
    <row r="15" spans="1:12" s="2" customFormat="1" ht="13.5" customHeight="1">
      <c r="A15" s="383" t="s">
        <v>258</v>
      </c>
      <c r="B15" s="383"/>
      <c r="C15" s="383"/>
      <c r="D15" s="383"/>
      <c r="E15" s="383"/>
      <c r="F15" s="383"/>
      <c r="G15" s="19">
        <v>132</v>
      </c>
      <c r="H15" s="20"/>
      <c r="I15" s="71"/>
      <c r="J15" s="71"/>
      <c r="L15" s="2" t="s">
        <v>2590</v>
      </c>
    </row>
    <row r="16" spans="1:10" s="2" customFormat="1" ht="13.5" customHeight="1">
      <c r="A16" s="383" t="s">
        <v>1838</v>
      </c>
      <c r="B16" s="383"/>
      <c r="C16" s="383"/>
      <c r="D16" s="383"/>
      <c r="E16" s="383"/>
      <c r="F16" s="383"/>
      <c r="G16" s="19">
        <v>133</v>
      </c>
      <c r="H16" s="20"/>
      <c r="I16" s="70">
        <f>SUM(I17:I19)</f>
        <v>95150</v>
      </c>
      <c r="J16" s="70">
        <f>SUM(J17:J19)</f>
        <v>22743</v>
      </c>
    </row>
    <row r="17" spans="1:10" s="2" customFormat="1" ht="13.5" customHeight="1">
      <c r="A17" s="409" t="s">
        <v>504</v>
      </c>
      <c r="B17" s="409"/>
      <c r="C17" s="409"/>
      <c r="D17" s="409"/>
      <c r="E17" s="409"/>
      <c r="F17" s="409"/>
      <c r="G17" s="19">
        <v>134</v>
      </c>
      <c r="H17" s="20"/>
      <c r="I17" s="71">
        <v>510</v>
      </c>
      <c r="J17" s="71"/>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94640</v>
      </c>
      <c r="J19" s="71">
        <v>22743</v>
      </c>
    </row>
    <row r="20" spans="1:10" s="2" customFormat="1" ht="13.5" customHeight="1">
      <c r="A20" s="383" t="s">
        <v>1839</v>
      </c>
      <c r="B20" s="383"/>
      <c r="C20" s="383"/>
      <c r="D20" s="383"/>
      <c r="E20" s="383"/>
      <c r="F20" s="383"/>
      <c r="G20" s="19">
        <v>137</v>
      </c>
      <c r="H20" s="20"/>
      <c r="I20" s="70">
        <f>SUM(I21:I23)</f>
        <v>83472</v>
      </c>
      <c r="J20" s="70">
        <f>SUM(J21:J23)</f>
        <v>96299</v>
      </c>
    </row>
    <row r="21" spans="1:10" s="2" customFormat="1" ht="13.5" customHeight="1">
      <c r="A21" s="409" t="s">
        <v>724</v>
      </c>
      <c r="B21" s="409"/>
      <c r="C21" s="409"/>
      <c r="D21" s="409"/>
      <c r="E21" s="409"/>
      <c r="F21" s="409"/>
      <c r="G21" s="19">
        <v>138</v>
      </c>
      <c r="H21" s="20"/>
      <c r="I21" s="71">
        <v>56928</v>
      </c>
      <c r="J21" s="71">
        <v>63270</v>
      </c>
    </row>
    <row r="22" spans="1:10" s="2" customFormat="1" ht="13.5" customHeight="1">
      <c r="A22" s="409" t="s">
        <v>961</v>
      </c>
      <c r="B22" s="409"/>
      <c r="C22" s="409"/>
      <c r="D22" s="409"/>
      <c r="E22" s="409"/>
      <c r="F22" s="409"/>
      <c r="G22" s="19">
        <v>139</v>
      </c>
      <c r="H22" s="20"/>
      <c r="I22" s="71">
        <v>14722</v>
      </c>
      <c r="J22" s="71">
        <v>19390</v>
      </c>
    </row>
    <row r="23" spans="1:10" s="2" customFormat="1" ht="13.5" customHeight="1">
      <c r="A23" s="409" t="s">
        <v>962</v>
      </c>
      <c r="B23" s="409"/>
      <c r="C23" s="409"/>
      <c r="D23" s="409"/>
      <c r="E23" s="409"/>
      <c r="F23" s="409"/>
      <c r="G23" s="19">
        <v>140</v>
      </c>
      <c r="H23" s="20"/>
      <c r="I23" s="71">
        <v>11822</v>
      </c>
      <c r="J23" s="71">
        <v>13639</v>
      </c>
    </row>
    <row r="24" spans="1:10" s="2" customFormat="1" ht="13.5" customHeight="1">
      <c r="A24" s="383" t="s">
        <v>259</v>
      </c>
      <c r="B24" s="383"/>
      <c r="C24" s="383"/>
      <c r="D24" s="383"/>
      <c r="E24" s="383"/>
      <c r="F24" s="383"/>
      <c r="G24" s="19">
        <v>141</v>
      </c>
      <c r="H24" s="20"/>
      <c r="I24" s="71">
        <v>500</v>
      </c>
      <c r="J24" s="71">
        <v>500</v>
      </c>
    </row>
    <row r="25" spans="1:10" s="2" customFormat="1" ht="13.5" customHeight="1">
      <c r="A25" s="383" t="s">
        <v>260</v>
      </c>
      <c r="B25" s="383"/>
      <c r="C25" s="383"/>
      <c r="D25" s="383"/>
      <c r="E25" s="383"/>
      <c r="F25" s="383"/>
      <c r="G25" s="19">
        <v>142</v>
      </c>
      <c r="H25" s="20"/>
      <c r="I25" s="71">
        <v>40197</v>
      </c>
      <c r="J25" s="71">
        <v>63598</v>
      </c>
    </row>
    <row r="26" spans="1:12" s="2" customFormat="1" ht="13.5" customHeight="1">
      <c r="A26" s="383" t="s">
        <v>1840</v>
      </c>
      <c r="B26" s="383"/>
      <c r="C26" s="383"/>
      <c r="D26" s="383"/>
      <c r="E26" s="383"/>
      <c r="F26" s="383"/>
      <c r="G26" s="19">
        <v>143</v>
      </c>
      <c r="H26" s="20"/>
      <c r="I26" s="70">
        <f>SUM(I27:I28)</f>
        <v>0</v>
      </c>
      <c r="J26" s="70">
        <f>SUM(J27:J28)</f>
        <v>0</v>
      </c>
      <c r="L26" s="2" t="s">
        <v>2590</v>
      </c>
    </row>
    <row r="27" spans="1:12" s="2" customFormat="1" ht="13.5" customHeight="1">
      <c r="A27" s="409" t="s">
        <v>506</v>
      </c>
      <c r="B27" s="409"/>
      <c r="C27" s="409"/>
      <c r="D27" s="409"/>
      <c r="E27" s="409"/>
      <c r="F27" s="409"/>
      <c r="G27" s="19">
        <v>144</v>
      </c>
      <c r="H27" s="20"/>
      <c r="I27" s="71"/>
      <c r="J27" s="71"/>
      <c r="L27" s="2" t="s">
        <v>2590</v>
      </c>
    </row>
    <row r="28" spans="1:12" s="2" customFormat="1" ht="13.5" customHeight="1">
      <c r="A28" s="409" t="s">
        <v>507</v>
      </c>
      <c r="B28" s="409"/>
      <c r="C28" s="409"/>
      <c r="D28" s="409"/>
      <c r="E28" s="409"/>
      <c r="F28" s="409"/>
      <c r="G28" s="19">
        <v>145</v>
      </c>
      <c r="H28" s="20"/>
      <c r="I28" s="71"/>
      <c r="J28" s="71"/>
      <c r="L28" s="2" t="s">
        <v>2590</v>
      </c>
    </row>
    <row r="29" spans="1:12" s="2" customFormat="1" ht="13.5" customHeight="1">
      <c r="A29" s="383" t="s">
        <v>1841</v>
      </c>
      <c r="B29" s="383"/>
      <c r="C29" s="383"/>
      <c r="D29" s="383"/>
      <c r="E29" s="383"/>
      <c r="F29" s="383"/>
      <c r="G29" s="19">
        <v>146</v>
      </c>
      <c r="H29" s="20"/>
      <c r="I29" s="70">
        <f>SUM(I30:I35)</f>
        <v>0</v>
      </c>
      <c r="J29" s="70">
        <f>SUM(J30:J35)</f>
        <v>0</v>
      </c>
      <c r="L29" s="2" t="s">
        <v>2590</v>
      </c>
    </row>
    <row r="30" spans="1:12" s="2" customFormat="1" ht="13.5" customHeight="1">
      <c r="A30" s="409" t="s">
        <v>508</v>
      </c>
      <c r="B30" s="409"/>
      <c r="C30" s="409"/>
      <c r="D30" s="409"/>
      <c r="E30" s="409"/>
      <c r="F30" s="409"/>
      <c r="G30" s="19">
        <v>147</v>
      </c>
      <c r="H30" s="20"/>
      <c r="I30" s="71"/>
      <c r="J30" s="71"/>
      <c r="L30" s="2" t="s">
        <v>2590</v>
      </c>
    </row>
    <row r="31" spans="1:12" s="2" customFormat="1" ht="13.5" customHeight="1">
      <c r="A31" s="409" t="s">
        <v>509</v>
      </c>
      <c r="B31" s="409"/>
      <c r="C31" s="409"/>
      <c r="D31" s="409"/>
      <c r="E31" s="409"/>
      <c r="F31" s="409"/>
      <c r="G31" s="19">
        <v>148</v>
      </c>
      <c r="H31" s="20"/>
      <c r="I31" s="71"/>
      <c r="J31" s="71"/>
      <c r="L31" s="2" t="s">
        <v>2590</v>
      </c>
    </row>
    <row r="32" spans="1:12" s="2" customFormat="1" ht="13.5" customHeight="1">
      <c r="A32" s="409" t="s">
        <v>510</v>
      </c>
      <c r="B32" s="409"/>
      <c r="C32" s="409"/>
      <c r="D32" s="409"/>
      <c r="E32" s="409"/>
      <c r="F32" s="409"/>
      <c r="G32" s="19">
        <v>149</v>
      </c>
      <c r="H32" s="20"/>
      <c r="I32" s="71"/>
      <c r="J32" s="71"/>
      <c r="L32" s="2" t="s">
        <v>2590</v>
      </c>
    </row>
    <row r="33" spans="1:12" s="2" customFormat="1" ht="13.5" customHeight="1">
      <c r="A33" s="409" t="s">
        <v>511</v>
      </c>
      <c r="B33" s="409"/>
      <c r="C33" s="409"/>
      <c r="D33" s="409"/>
      <c r="E33" s="409"/>
      <c r="F33" s="409"/>
      <c r="G33" s="19">
        <v>150</v>
      </c>
      <c r="H33" s="20"/>
      <c r="I33" s="71"/>
      <c r="J33" s="71"/>
      <c r="L33" s="2" t="s">
        <v>2590</v>
      </c>
    </row>
    <row r="34" spans="1:12" s="2" customFormat="1" ht="13.5" customHeight="1">
      <c r="A34" s="409" t="s">
        <v>512</v>
      </c>
      <c r="B34" s="409"/>
      <c r="C34" s="409"/>
      <c r="D34" s="409"/>
      <c r="E34" s="409"/>
      <c r="F34" s="409"/>
      <c r="G34" s="19">
        <v>151</v>
      </c>
      <c r="H34" s="20"/>
      <c r="I34" s="71"/>
      <c r="J34" s="71"/>
      <c r="L34" s="2" t="s">
        <v>2590</v>
      </c>
    </row>
    <row r="35" spans="1:12" s="2" customFormat="1" ht="13.5" customHeight="1">
      <c r="A35" s="409" t="s">
        <v>513</v>
      </c>
      <c r="B35" s="409"/>
      <c r="C35" s="409"/>
      <c r="D35" s="409"/>
      <c r="E35" s="409"/>
      <c r="F35" s="409"/>
      <c r="G35" s="19">
        <v>152</v>
      </c>
      <c r="H35" s="20"/>
      <c r="I35" s="71"/>
      <c r="J35" s="71"/>
      <c r="L35" s="2" t="s">
        <v>2590</v>
      </c>
    </row>
    <row r="36" spans="1:10" s="2" customFormat="1" ht="13.5" customHeight="1">
      <c r="A36" s="383" t="s">
        <v>1692</v>
      </c>
      <c r="B36" s="383"/>
      <c r="C36" s="383"/>
      <c r="D36" s="383"/>
      <c r="E36" s="383"/>
      <c r="F36" s="383"/>
      <c r="G36" s="19">
        <v>153</v>
      </c>
      <c r="H36" s="20"/>
      <c r="I36" s="71">
        <v>750291</v>
      </c>
      <c r="J36" s="71">
        <v>1128853</v>
      </c>
    </row>
    <row r="37" spans="1:10" s="2" customFormat="1" ht="13.5" customHeight="1">
      <c r="A37" s="381" t="s">
        <v>1842</v>
      </c>
      <c r="B37" s="381"/>
      <c r="C37" s="381"/>
      <c r="D37" s="381"/>
      <c r="E37" s="381"/>
      <c r="F37" s="381"/>
      <c r="G37" s="19">
        <v>154</v>
      </c>
      <c r="H37" s="20"/>
      <c r="I37" s="70">
        <f>SUM(I38:I47)</f>
        <v>460</v>
      </c>
      <c r="J37" s="70">
        <f>SUM(J38:J47)</f>
        <v>399</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460</v>
      </c>
      <c r="J44" s="71">
        <v>399</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1191</v>
      </c>
      <c r="J48" s="70">
        <f>SUM(J49:J55)</f>
        <v>25</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1191</v>
      </c>
      <c r="J51" s="71">
        <v>25</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2590</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156585</v>
      </c>
      <c r="J60" s="70">
        <f>J8+J37+J56+J57</f>
        <v>647432</v>
      </c>
    </row>
    <row r="61" spans="1:10" s="2" customFormat="1" ht="13.5" customHeight="1">
      <c r="A61" s="381" t="s">
        <v>1845</v>
      </c>
      <c r="B61" s="381"/>
      <c r="C61" s="381"/>
      <c r="D61" s="381"/>
      <c r="E61" s="381"/>
      <c r="F61" s="381"/>
      <c r="G61" s="19">
        <v>178</v>
      </c>
      <c r="H61" s="20"/>
      <c r="I61" s="70">
        <f>I14+I48+I58+I59</f>
        <v>970801</v>
      </c>
      <c r="J61" s="70">
        <f>J14+J48+J58+J59</f>
        <v>1312018</v>
      </c>
    </row>
    <row r="62" spans="1:12" s="2" customFormat="1" ht="13.5" customHeight="1">
      <c r="A62" s="381" t="s">
        <v>2580</v>
      </c>
      <c r="B62" s="381"/>
      <c r="C62" s="381"/>
      <c r="D62" s="381"/>
      <c r="E62" s="381"/>
      <c r="F62" s="381"/>
      <c r="G62" s="19">
        <v>179</v>
      </c>
      <c r="H62" s="20"/>
      <c r="I62" s="70">
        <f>I60-I61</f>
        <v>-814216</v>
      </c>
      <c r="J62" s="70">
        <f>J60-J61</f>
        <v>-664586</v>
      </c>
      <c r="L62" s="2" t="s">
        <v>2590</v>
      </c>
    </row>
    <row r="63" spans="1:10" s="2" customFormat="1" ht="13.5" customHeight="1">
      <c r="A63" s="403" t="s">
        <v>2657</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814216</v>
      </c>
      <c r="J64" s="70">
        <f>IF(J61&gt;J60,J61-J60,0)</f>
        <v>664586</v>
      </c>
    </row>
    <row r="65" spans="1:12" s="2" customFormat="1" ht="13.5" customHeight="1">
      <c r="A65" s="381" t="s">
        <v>2619</v>
      </c>
      <c r="B65" s="381"/>
      <c r="C65" s="381"/>
      <c r="D65" s="381"/>
      <c r="E65" s="381"/>
      <c r="F65" s="381"/>
      <c r="G65" s="19">
        <v>182</v>
      </c>
      <c r="H65" s="20"/>
      <c r="I65" s="71"/>
      <c r="J65" s="71"/>
      <c r="L65" s="2" t="s">
        <v>2590</v>
      </c>
    </row>
    <row r="66" spans="1:12" s="2" customFormat="1" ht="13.5" customHeight="1">
      <c r="A66" s="381" t="s">
        <v>2581</v>
      </c>
      <c r="B66" s="381"/>
      <c r="C66" s="381"/>
      <c r="D66" s="381"/>
      <c r="E66" s="381"/>
      <c r="F66" s="381"/>
      <c r="G66" s="19">
        <v>183</v>
      </c>
      <c r="H66" s="20"/>
      <c r="I66" s="70">
        <f>I62-I65</f>
        <v>-814216</v>
      </c>
      <c r="J66" s="70">
        <f>J62-J65</f>
        <v>-664586</v>
      </c>
      <c r="L66" s="2" t="s">
        <v>2590</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814216</v>
      </c>
      <c r="J68" s="85">
        <f>IF(J66&lt;0,-J66,0)</f>
        <v>664586</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2590</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2590</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2590</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2590</v>
      </c>
    </row>
    <row r="81" spans="1:12" s="2" customFormat="1" ht="13.5" customHeight="1">
      <c r="A81" s="381" t="s">
        <v>2009</v>
      </c>
      <c r="B81" s="381"/>
      <c r="C81" s="381"/>
      <c r="D81" s="381"/>
      <c r="E81" s="381"/>
      <c r="F81" s="381"/>
      <c r="G81" s="19">
        <v>196</v>
      </c>
      <c r="H81" s="20"/>
      <c r="I81" s="70">
        <f>I82-I83</f>
        <v>0</v>
      </c>
      <c r="J81" s="70">
        <f>J82-J83</f>
        <v>0</v>
      </c>
      <c r="L81" s="2" t="s">
        <v>2590</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2851</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2590</v>
      </c>
    </row>
    <row r="86" spans="1:12" s="2" customFormat="1" ht="13.5" customHeight="1">
      <c r="A86" s="419" t="s">
        <v>2061</v>
      </c>
      <c r="B86" s="419"/>
      <c r="C86" s="419"/>
      <c r="D86" s="419"/>
      <c r="E86" s="419"/>
      <c r="F86" s="419"/>
      <c r="G86" s="19">
        <v>200</v>
      </c>
      <c r="H86" s="20"/>
      <c r="I86" s="77"/>
      <c r="J86" s="77"/>
      <c r="L86" s="2" t="s">
        <v>2590</v>
      </c>
    </row>
    <row r="87" spans="1:12" s="2" customFormat="1" ht="13.5" customHeight="1">
      <c r="A87" s="420" t="s">
        <v>1102</v>
      </c>
      <c r="B87" s="420"/>
      <c r="C87" s="420"/>
      <c r="D87" s="420"/>
      <c r="E87" s="420"/>
      <c r="F87" s="420"/>
      <c r="G87" s="21">
        <v>201</v>
      </c>
      <c r="H87" s="22"/>
      <c r="I87" s="78"/>
      <c r="J87" s="78"/>
      <c r="L87" s="2" t="s">
        <v>2590</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v>-814216</v>
      </c>
      <c r="J89" s="77">
        <v>-664586</v>
      </c>
      <c r="L89" s="2" t="s">
        <v>2590</v>
      </c>
    </row>
    <row r="90" spans="1:12" s="2" customFormat="1" ht="25.5" customHeight="1">
      <c r="A90" s="406" t="s">
        <v>1473</v>
      </c>
      <c r="B90" s="406"/>
      <c r="C90" s="406"/>
      <c r="D90" s="406"/>
      <c r="E90" s="406"/>
      <c r="F90" s="406"/>
      <c r="G90" s="19">
        <v>203</v>
      </c>
      <c r="H90" s="20"/>
      <c r="I90" s="86">
        <f>SUM(I91:I98)</f>
        <v>0</v>
      </c>
      <c r="J90" s="86">
        <f>SUM(J91:J98)</f>
        <v>0</v>
      </c>
      <c r="L90" s="2" t="s">
        <v>2590</v>
      </c>
    </row>
    <row r="91" spans="1:12" s="2" customFormat="1" ht="13.5" customHeight="1">
      <c r="A91" s="403" t="s">
        <v>2062</v>
      </c>
      <c r="B91" s="403"/>
      <c r="C91" s="403"/>
      <c r="D91" s="403"/>
      <c r="E91" s="403"/>
      <c r="F91" s="403"/>
      <c r="G91" s="19">
        <v>204</v>
      </c>
      <c r="H91" s="20"/>
      <c r="I91" s="77"/>
      <c r="J91" s="77"/>
      <c r="L91" s="2" t="s">
        <v>2590</v>
      </c>
    </row>
    <row r="92" spans="1:12" s="2" customFormat="1" ht="25.5" customHeight="1">
      <c r="A92" s="403" t="s">
        <v>2063</v>
      </c>
      <c r="B92" s="403"/>
      <c r="C92" s="403"/>
      <c r="D92" s="403"/>
      <c r="E92" s="403"/>
      <c r="F92" s="403"/>
      <c r="G92" s="19">
        <v>205</v>
      </c>
      <c r="H92" s="20"/>
      <c r="I92" s="77"/>
      <c r="J92" s="77"/>
      <c r="L92" s="2" t="s">
        <v>2590</v>
      </c>
    </row>
    <row r="93" spans="1:12" s="2" customFormat="1" ht="26.25" customHeight="1">
      <c r="A93" s="403" t="s">
        <v>2064</v>
      </c>
      <c r="B93" s="403"/>
      <c r="C93" s="403"/>
      <c r="D93" s="403"/>
      <c r="E93" s="403"/>
      <c r="F93" s="403"/>
      <c r="G93" s="19">
        <v>206</v>
      </c>
      <c r="H93" s="20"/>
      <c r="I93" s="77"/>
      <c r="J93" s="77"/>
      <c r="L93" s="2" t="s">
        <v>2590</v>
      </c>
    </row>
    <row r="94" spans="1:12" s="2" customFormat="1" ht="13.5" customHeight="1">
      <c r="A94" s="403" t="s">
        <v>2065</v>
      </c>
      <c r="B94" s="403"/>
      <c r="C94" s="403"/>
      <c r="D94" s="403"/>
      <c r="E94" s="403"/>
      <c r="F94" s="403"/>
      <c r="G94" s="19">
        <v>207</v>
      </c>
      <c r="H94" s="20"/>
      <c r="I94" s="77"/>
      <c r="J94" s="77"/>
      <c r="L94" s="2" t="s">
        <v>2590</v>
      </c>
    </row>
    <row r="95" spans="1:12" s="2" customFormat="1" ht="13.5" customHeight="1">
      <c r="A95" s="403" t="s">
        <v>2066</v>
      </c>
      <c r="B95" s="403"/>
      <c r="C95" s="403"/>
      <c r="D95" s="403"/>
      <c r="E95" s="403"/>
      <c r="F95" s="403"/>
      <c r="G95" s="19">
        <v>208</v>
      </c>
      <c r="H95" s="20"/>
      <c r="I95" s="77"/>
      <c r="J95" s="77"/>
      <c r="L95" s="2" t="s">
        <v>2590</v>
      </c>
    </row>
    <row r="96" spans="1:12" s="2" customFormat="1" ht="25.5" customHeight="1">
      <c r="A96" s="403" t="s">
        <v>2067</v>
      </c>
      <c r="B96" s="403"/>
      <c r="C96" s="403"/>
      <c r="D96" s="403"/>
      <c r="E96" s="403"/>
      <c r="F96" s="403"/>
      <c r="G96" s="19">
        <v>209</v>
      </c>
      <c r="H96" s="20"/>
      <c r="I96" s="77"/>
      <c r="J96" s="77"/>
      <c r="L96" s="2" t="s">
        <v>2590</v>
      </c>
    </row>
    <row r="97" spans="1:12" s="2" customFormat="1" ht="13.5" customHeight="1">
      <c r="A97" s="403" t="s">
        <v>759</v>
      </c>
      <c r="B97" s="403"/>
      <c r="C97" s="403"/>
      <c r="D97" s="403"/>
      <c r="E97" s="403"/>
      <c r="F97" s="403"/>
      <c r="G97" s="19">
        <v>210</v>
      </c>
      <c r="H97" s="20"/>
      <c r="I97" s="77"/>
      <c r="J97" s="77"/>
      <c r="L97" s="2" t="s">
        <v>2590</v>
      </c>
    </row>
    <row r="98" spans="1:12" s="2" customFormat="1" ht="13.5" customHeight="1">
      <c r="A98" s="403" t="s">
        <v>1449</v>
      </c>
      <c r="B98" s="403"/>
      <c r="C98" s="403"/>
      <c r="D98" s="403"/>
      <c r="E98" s="403"/>
      <c r="F98" s="403"/>
      <c r="G98" s="19">
        <v>211</v>
      </c>
      <c r="H98" s="20"/>
      <c r="I98" s="77"/>
      <c r="J98" s="77"/>
      <c r="L98" s="2" t="s">
        <v>2590</v>
      </c>
    </row>
    <row r="99" spans="1:12" s="2" customFormat="1" ht="13.5" customHeight="1">
      <c r="A99" s="406" t="s">
        <v>2620</v>
      </c>
      <c r="B99" s="406"/>
      <c r="C99" s="406"/>
      <c r="D99" s="406"/>
      <c r="E99" s="406"/>
      <c r="F99" s="406"/>
      <c r="G99" s="19">
        <v>212</v>
      </c>
      <c r="H99" s="20"/>
      <c r="I99" s="77"/>
      <c r="J99" s="77"/>
      <c r="L99" s="2" t="s">
        <v>2590</v>
      </c>
    </row>
    <row r="100" spans="1:12" s="2" customFormat="1" ht="15" customHeight="1">
      <c r="A100" s="406" t="s">
        <v>1474</v>
      </c>
      <c r="B100" s="406"/>
      <c r="C100" s="406"/>
      <c r="D100" s="406"/>
      <c r="E100" s="406"/>
      <c r="F100" s="406"/>
      <c r="G100" s="19">
        <v>213</v>
      </c>
      <c r="H100" s="20"/>
      <c r="I100" s="86">
        <f>I90-I99</f>
        <v>0</v>
      </c>
      <c r="J100" s="86">
        <f>J90-J99</f>
        <v>0</v>
      </c>
      <c r="L100" s="2" t="s">
        <v>2590</v>
      </c>
    </row>
    <row r="101" spans="1:12" s="2" customFormat="1" ht="13.5" customHeight="1">
      <c r="A101" s="421" t="s">
        <v>1475</v>
      </c>
      <c r="B101" s="421"/>
      <c r="C101" s="421"/>
      <c r="D101" s="421"/>
      <c r="E101" s="421"/>
      <c r="F101" s="421"/>
      <c r="G101" s="21">
        <v>214</v>
      </c>
      <c r="H101" s="22"/>
      <c r="I101" s="87">
        <f>I89+I100</f>
        <v>-814216</v>
      </c>
      <c r="J101" s="87">
        <f>J89+J100</f>
        <v>-664586</v>
      </c>
      <c r="L101" s="2" t="s">
        <v>2590</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2590</v>
      </c>
    </row>
    <row r="104" spans="1:12" s="2" customFormat="1" ht="13.5" customHeight="1">
      <c r="A104" s="419" t="s">
        <v>2621</v>
      </c>
      <c r="B104" s="419"/>
      <c r="C104" s="419"/>
      <c r="D104" s="419"/>
      <c r="E104" s="419"/>
      <c r="F104" s="419"/>
      <c r="G104" s="19">
        <v>216</v>
      </c>
      <c r="H104" s="20"/>
      <c r="I104" s="77"/>
      <c r="J104" s="77"/>
      <c r="L104" s="2" t="s">
        <v>2590</v>
      </c>
    </row>
    <row r="105" spans="1:12" s="2" customFormat="1" ht="13.5" customHeight="1">
      <c r="A105" s="420" t="s">
        <v>1450</v>
      </c>
      <c r="B105" s="420"/>
      <c r="C105" s="420"/>
      <c r="D105" s="420"/>
      <c r="E105" s="420"/>
      <c r="F105" s="420"/>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44" activePane="bottomLeft" state="frozen"/>
      <selection pane="topLeft" activeCell="A1" sqref="A1"/>
      <selection pane="bottomLeft" activeCell="I76" sqref="I76:J7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s="2" customFormat="1" ht="19.5" customHeight="1">
      <c r="A2" s="432" t="s">
        <v>568</v>
      </c>
      <c r="B2" s="433"/>
      <c r="C2" s="433"/>
      <c r="D2" s="433"/>
      <c r="E2" s="433"/>
      <c r="F2" s="433"/>
      <c r="G2" s="433"/>
      <c r="H2" s="433"/>
      <c r="I2" s="434"/>
      <c r="J2" s="388" t="s">
        <v>2592</v>
      </c>
      <c r="Q2" s="74">
        <f>IF(MAX(I9:I88)&gt;0,1,0)</f>
        <v>1</v>
      </c>
      <c r="R2" s="73" t="s">
        <v>2585</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2586</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98014881436; TERRA MEDITERRANEA d.d.</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2899</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2900</v>
      </c>
      <c r="B25" s="441"/>
      <c r="C25" s="441"/>
      <c r="D25" s="441"/>
      <c r="E25" s="441"/>
      <c r="F25" s="441"/>
      <c r="G25" s="442"/>
      <c r="H25" s="92">
        <v>231</v>
      </c>
      <c r="I25" s="94"/>
      <c r="J25" s="94"/>
    </row>
    <row r="26" spans="1:10" s="2" customFormat="1" ht="24.75" customHeight="1">
      <c r="A26" s="403" t="s">
        <v>2214</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2215</v>
      </c>
      <c r="B33" s="403"/>
      <c r="C33" s="403"/>
      <c r="D33" s="403"/>
      <c r="E33" s="403"/>
      <c r="F33" s="403"/>
      <c r="G33" s="443"/>
      <c r="H33" s="19">
        <v>239</v>
      </c>
      <c r="I33" s="77"/>
      <c r="J33" s="77"/>
    </row>
    <row r="34" spans="1:10" s="2" customFormat="1" ht="36" customHeight="1">
      <c r="A34" s="403" t="s">
        <v>2216</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1">
        <v>130000</v>
      </c>
      <c r="J35" s="71">
        <v>570393</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71">
        <v>130000</v>
      </c>
      <c r="J37" s="71">
        <v>570393</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2901</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2217</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2218</v>
      </c>
      <c r="B51" s="403"/>
      <c r="C51" s="403"/>
      <c r="D51" s="403"/>
      <c r="E51" s="403"/>
      <c r="F51" s="403"/>
      <c r="G51" s="443"/>
      <c r="H51" s="19">
        <v>253</v>
      </c>
      <c r="I51" s="77"/>
      <c r="J51" s="77"/>
    </row>
    <row r="52" spans="1:10" s="2" customFormat="1" ht="24.75" customHeight="1">
      <c r="A52" s="403" t="s">
        <v>2442</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2433</v>
      </c>
      <c r="B55" s="403"/>
      <c r="C55" s="403"/>
      <c r="D55" s="403"/>
      <c r="E55" s="403"/>
      <c r="F55" s="403"/>
      <c r="G55" s="443"/>
      <c r="H55" s="19">
        <v>257</v>
      </c>
      <c r="I55" s="77"/>
      <c r="J55" s="77"/>
    </row>
    <row r="56" spans="1:10" s="2" customFormat="1" ht="13.5" customHeight="1">
      <c r="A56" s="403" t="s">
        <v>2434</v>
      </c>
      <c r="B56" s="403"/>
      <c r="C56" s="403"/>
      <c r="D56" s="403"/>
      <c r="E56" s="403"/>
      <c r="F56" s="403"/>
      <c r="G56" s="443"/>
      <c r="H56" s="19">
        <v>258</v>
      </c>
      <c r="I56" s="77"/>
      <c r="J56" s="77"/>
    </row>
    <row r="57" spans="1:10" s="2" customFormat="1" ht="25.5" customHeight="1">
      <c r="A57" s="403" t="s">
        <v>2443</v>
      </c>
      <c r="B57" s="403"/>
      <c r="C57" s="403"/>
      <c r="D57" s="403"/>
      <c r="E57" s="403"/>
      <c r="F57" s="403"/>
      <c r="G57" s="443"/>
      <c r="H57" s="19">
        <v>259</v>
      </c>
      <c r="I57" s="77"/>
      <c r="J57" s="77"/>
    </row>
    <row r="58" spans="1:10" s="2" customFormat="1" ht="13.5" customHeight="1">
      <c r="A58" s="403" t="s">
        <v>2435</v>
      </c>
      <c r="B58" s="403"/>
      <c r="C58" s="403"/>
      <c r="D58" s="403"/>
      <c r="E58" s="403"/>
      <c r="F58" s="403"/>
      <c r="G58" s="443"/>
      <c r="H58" s="19">
        <v>260</v>
      </c>
      <c r="I58" s="77"/>
      <c r="J58" s="77"/>
    </row>
    <row r="59" spans="1:10" s="2" customFormat="1" ht="13.5" customHeight="1">
      <c r="A59" s="403" t="s">
        <v>2436</v>
      </c>
      <c r="B59" s="403"/>
      <c r="C59" s="403"/>
      <c r="D59" s="403"/>
      <c r="E59" s="403"/>
      <c r="F59" s="403"/>
      <c r="G59" s="443"/>
      <c r="H59" s="19">
        <v>261</v>
      </c>
      <c r="I59" s="77"/>
      <c r="J59" s="77"/>
    </row>
    <row r="60" spans="1:10" s="2" customFormat="1" ht="13.5" customHeight="1">
      <c r="A60" s="403" t="s">
        <v>2437</v>
      </c>
      <c r="B60" s="403"/>
      <c r="C60" s="403"/>
      <c r="D60" s="403"/>
      <c r="E60" s="403"/>
      <c r="F60" s="403"/>
      <c r="G60" s="443"/>
      <c r="H60" s="19">
        <v>262</v>
      </c>
      <c r="I60" s="77"/>
      <c r="J60" s="77"/>
    </row>
    <row r="61" spans="1:10" s="2" customFormat="1" ht="13.5" customHeight="1">
      <c r="A61" s="444" t="s">
        <v>2444</v>
      </c>
      <c r="B61" s="444"/>
      <c r="C61" s="444"/>
      <c r="D61" s="444"/>
      <c r="E61" s="444"/>
      <c r="F61" s="444"/>
      <c r="G61" s="445"/>
      <c r="H61" s="19">
        <v>263</v>
      </c>
      <c r="I61" s="77"/>
      <c r="J61" s="77"/>
    </row>
    <row r="62" spans="1:10" s="2" customFormat="1" ht="13.5" customHeight="1">
      <c r="A62" s="403" t="s">
        <v>2438</v>
      </c>
      <c r="B62" s="403"/>
      <c r="C62" s="403"/>
      <c r="D62" s="403"/>
      <c r="E62" s="403"/>
      <c r="F62" s="403"/>
      <c r="G62" s="443"/>
      <c r="H62" s="19">
        <v>264</v>
      </c>
      <c r="I62" s="77"/>
      <c r="J62" s="77"/>
    </row>
    <row r="63" spans="1:10" s="2" customFormat="1" ht="13.5" customHeight="1">
      <c r="A63" s="403" t="s">
        <v>2439</v>
      </c>
      <c r="B63" s="403"/>
      <c r="C63" s="403"/>
      <c r="D63" s="403"/>
      <c r="E63" s="403"/>
      <c r="F63" s="403"/>
      <c r="G63" s="443"/>
      <c r="H63" s="19">
        <v>265</v>
      </c>
      <c r="I63" s="77"/>
      <c r="J63" s="77"/>
    </row>
    <row r="64" spans="1:10" s="2" customFormat="1" ht="13.5" customHeight="1">
      <c r="A64" s="403" t="s">
        <v>2440</v>
      </c>
      <c r="B64" s="403"/>
      <c r="C64" s="403"/>
      <c r="D64" s="403"/>
      <c r="E64" s="403"/>
      <c r="F64" s="403"/>
      <c r="G64" s="443"/>
      <c r="H64" s="19">
        <v>266</v>
      </c>
      <c r="I64" s="77"/>
      <c r="J64" s="77"/>
    </row>
    <row r="65" spans="1:10" s="2" customFormat="1" ht="13.5" customHeight="1">
      <c r="A65" s="403" t="s">
        <v>2441</v>
      </c>
      <c r="B65" s="403"/>
      <c r="C65" s="403"/>
      <c r="D65" s="403"/>
      <c r="E65" s="403"/>
      <c r="F65" s="403"/>
      <c r="G65" s="443"/>
      <c r="H65" s="19">
        <v>267</v>
      </c>
      <c r="I65" s="77"/>
      <c r="J65" s="77"/>
    </row>
    <row r="66" spans="1:10" s="2" customFormat="1" ht="13.5" customHeight="1">
      <c r="A66" s="444" t="s">
        <v>2902</v>
      </c>
      <c r="B66" s="444"/>
      <c r="C66" s="444"/>
      <c r="D66" s="444"/>
      <c r="E66" s="444"/>
      <c r="F66" s="444"/>
      <c r="G66" s="445"/>
      <c r="H66" s="19">
        <v>268</v>
      </c>
      <c r="I66" s="77"/>
      <c r="J66" s="77"/>
    </row>
    <row r="67" spans="1:10" s="2" customFormat="1" ht="24.75" customHeight="1">
      <c r="A67" s="403" t="s">
        <v>2219</v>
      </c>
      <c r="B67" s="403"/>
      <c r="C67" s="403"/>
      <c r="D67" s="403"/>
      <c r="E67" s="403"/>
      <c r="F67" s="403"/>
      <c r="G67" s="443"/>
      <c r="H67" s="19">
        <v>269</v>
      </c>
      <c r="I67" s="77"/>
      <c r="J67" s="77"/>
    </row>
    <row r="68" spans="1:10" s="2" customFormat="1" ht="13.5" customHeight="1">
      <c r="A68" s="403" t="s">
        <v>2447</v>
      </c>
      <c r="B68" s="403"/>
      <c r="C68" s="403"/>
      <c r="D68" s="403"/>
      <c r="E68" s="403"/>
      <c r="F68" s="403"/>
      <c r="G68" s="443"/>
      <c r="H68" s="19">
        <v>270</v>
      </c>
      <c r="I68" s="77"/>
      <c r="J68" s="77"/>
    </row>
    <row r="69" spans="1:10" s="2" customFormat="1" ht="13.5" customHeight="1">
      <c r="A69" s="403" t="s">
        <v>2446</v>
      </c>
      <c r="B69" s="403"/>
      <c r="C69" s="403"/>
      <c r="D69" s="403"/>
      <c r="E69" s="403"/>
      <c r="F69" s="403"/>
      <c r="G69" s="443"/>
      <c r="H69" s="19">
        <v>271</v>
      </c>
      <c r="I69" s="77"/>
      <c r="J69" s="77"/>
    </row>
    <row r="70" spans="1:10" s="2" customFormat="1" ht="24.75" customHeight="1">
      <c r="A70" s="403" t="s">
        <v>2445</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71">
        <v>460</v>
      </c>
      <c r="J73" s="71">
        <v>399</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1">
        <v>1191</v>
      </c>
      <c r="J76" s="71">
        <v>25</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2220</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4 I38:J38 I40:J40 I42:J47 I78:J86 I74:J75 I88:J88 I49:J67 I71:J71">
    <cfRule type="cellIs" priority="9" dxfId="2" operator="notEqual" stopIfTrue="1">
      <formula>ROUND(I9,0)</formula>
    </cfRule>
    <cfRule type="cellIs" priority="10" dxfId="1" operator="lessThan" stopIfTrue="1">
      <formula>0</formula>
    </cfRule>
  </conditionalFormatting>
  <conditionalFormatting sqref="I68:J70">
    <cfRule type="cellIs" priority="11" dxfId="2" operator="notEqual" stopIfTrue="1">
      <formula>ROUND(I68,0)</formula>
    </cfRule>
  </conditionalFormatting>
  <conditionalFormatting sqref="I35:J35">
    <cfRule type="cellIs" priority="7" dxfId="2" operator="notEqual" stopIfTrue="1">
      <formula>ROUND(I35,0)</formula>
    </cfRule>
    <cfRule type="cellIs" priority="8" dxfId="1" operator="lessThan" stopIfTrue="1">
      <formula>0</formula>
    </cfRule>
  </conditionalFormatting>
  <conditionalFormatting sqref="I37:J37">
    <cfRule type="cellIs" priority="5" dxfId="2" operator="notEqual" stopIfTrue="1">
      <formula>ROUND(I37,0)</formula>
    </cfRule>
    <cfRule type="cellIs" priority="6" dxfId="1" operator="lessThan" stopIfTrue="1">
      <formula>0</formula>
    </cfRule>
  </conditionalFormatting>
  <conditionalFormatting sqref="I73:J73">
    <cfRule type="cellIs" priority="3" dxfId="2" operator="notEqual" stopIfTrue="1">
      <formula>ROUND(I73,0)</formula>
    </cfRule>
    <cfRule type="cellIs" priority="4" dxfId="1" operator="lessThan" stopIfTrue="1">
      <formula>0</formula>
    </cfRule>
  </conditionalFormatting>
  <conditionalFormatting sqref="I76:J76">
    <cfRule type="cellIs" priority="1" dxfId="2" operator="notEqual" stopIfTrue="1">
      <formula>ROUND(I76,0)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4"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2593</v>
      </c>
      <c r="Q2" s="74">
        <f>IF(OR(MIN(I8:I60)&lt;0,MAX(I8:I60)&gt;0),1,0)</f>
        <v>0</v>
      </c>
      <c r="R2" s="73" t="s">
        <v>2585</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2586</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98014881436; TERRA MEDITERRANEA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2334</v>
      </c>
      <c r="B11" s="444"/>
      <c r="C11" s="444"/>
      <c r="D11" s="444"/>
      <c r="E11" s="444"/>
      <c r="F11" s="444"/>
      <c r="G11" s="19">
        <v>3</v>
      </c>
      <c r="H11" s="23"/>
      <c r="I11" s="126"/>
      <c r="J11" s="126"/>
    </row>
    <row r="12" spans="1:10" s="2" customFormat="1" ht="24.75" customHeight="1">
      <c r="A12" s="444" t="s">
        <v>2909</v>
      </c>
      <c r="B12" s="444"/>
      <c r="C12" s="444"/>
      <c r="D12" s="444"/>
      <c r="E12" s="444"/>
      <c r="F12" s="444"/>
      <c r="G12" s="19">
        <v>4</v>
      </c>
      <c r="H12" s="23"/>
      <c r="I12" s="126"/>
      <c r="J12" s="126"/>
    </row>
    <row r="13" spans="1:10" s="2" customFormat="1" ht="24.75" customHeight="1">
      <c r="A13" s="444" t="s">
        <v>2910</v>
      </c>
      <c r="B13" s="444"/>
      <c r="C13" s="444"/>
      <c r="D13" s="444"/>
      <c r="E13" s="444"/>
      <c r="F13" s="444"/>
      <c r="G13" s="19">
        <v>5</v>
      </c>
      <c r="H13" s="23"/>
      <c r="I13" s="126"/>
      <c r="J13" s="126"/>
    </row>
    <row r="14" spans="1:12" s="2" customFormat="1" ht="13.5" customHeight="1">
      <c r="A14" s="444" t="s">
        <v>2335</v>
      </c>
      <c r="B14" s="444"/>
      <c r="C14" s="444"/>
      <c r="D14" s="444"/>
      <c r="E14" s="444"/>
      <c r="F14" s="444"/>
      <c r="G14" s="19">
        <v>6</v>
      </c>
      <c r="H14" s="23"/>
      <c r="I14" s="126"/>
      <c r="J14" s="126"/>
      <c r="L14" s="73"/>
    </row>
    <row r="15" spans="1:10" s="2" customFormat="1" ht="13.5" customHeight="1">
      <c r="A15" s="444" t="s">
        <v>2336</v>
      </c>
      <c r="B15" s="444"/>
      <c r="C15" s="444"/>
      <c r="D15" s="444"/>
      <c r="E15" s="444"/>
      <c r="F15" s="444"/>
      <c r="G15" s="19">
        <v>7</v>
      </c>
      <c r="H15" s="23"/>
      <c r="I15" s="126"/>
      <c r="J15" s="126"/>
    </row>
    <row r="16" spans="1:10" s="2" customFormat="1" ht="13.5" customHeight="1">
      <c r="A16" s="444" t="s">
        <v>2337</v>
      </c>
      <c r="B16" s="444"/>
      <c r="C16" s="444"/>
      <c r="D16" s="444"/>
      <c r="E16" s="444"/>
      <c r="F16" s="444"/>
      <c r="G16" s="19">
        <v>8</v>
      </c>
      <c r="H16" s="23"/>
      <c r="I16" s="126"/>
      <c r="J16" s="126"/>
    </row>
    <row r="17" spans="1:10" s="2" customFormat="1" ht="13.5" customHeight="1">
      <c r="A17" s="444" t="s">
        <v>2338</v>
      </c>
      <c r="B17" s="444"/>
      <c r="C17" s="444"/>
      <c r="D17" s="444"/>
      <c r="E17" s="444"/>
      <c r="F17" s="444"/>
      <c r="G17" s="19">
        <v>9</v>
      </c>
      <c r="H17" s="23"/>
      <c r="I17" s="126"/>
      <c r="J17" s="126"/>
    </row>
    <row r="18" spans="1:10" s="2" customFormat="1" ht="13.5" customHeight="1">
      <c r="A18" s="444" t="s">
        <v>2908</v>
      </c>
      <c r="B18" s="444"/>
      <c r="C18" s="444"/>
      <c r="D18" s="444"/>
      <c r="E18" s="444"/>
      <c r="F18" s="444"/>
      <c r="G18" s="19">
        <v>10</v>
      </c>
      <c r="H18" s="23"/>
      <c r="I18" s="126"/>
      <c r="J18" s="126"/>
    </row>
    <row r="19" spans="1:14" s="2" customFormat="1" ht="24.75" customHeight="1">
      <c r="A19" s="406" t="s">
        <v>2907</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2523</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2522</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2425</v>
      </c>
      <c r="B42" s="406"/>
      <c r="C42" s="406"/>
      <c r="D42" s="406"/>
      <c r="E42" s="406"/>
      <c r="F42" s="406"/>
      <c r="G42" s="19">
        <v>33</v>
      </c>
      <c r="H42" s="23"/>
      <c r="I42" s="86">
        <f>SUM(I37:I41)</f>
        <v>0</v>
      </c>
      <c r="J42" s="86">
        <f>SUM(J37:J41)</f>
        <v>0</v>
      </c>
    </row>
    <row r="43" spans="1:10" s="2" customFormat="1" ht="13.5" customHeight="1">
      <c r="A43" s="449" t="s">
        <v>2510</v>
      </c>
      <c r="B43" s="449"/>
      <c r="C43" s="449"/>
      <c r="D43" s="449"/>
      <c r="E43" s="449"/>
      <c r="F43" s="449"/>
      <c r="G43" s="21">
        <v>34</v>
      </c>
      <c r="H43" s="24"/>
      <c r="I43" s="87">
        <f>I36+I42</f>
        <v>0</v>
      </c>
      <c r="J43" s="87">
        <f>J36+J42</f>
        <v>0</v>
      </c>
    </row>
    <row r="44" spans="1:10" s="2" customFormat="1" ht="15" customHeight="1">
      <c r="A44" s="438" t="s">
        <v>2426</v>
      </c>
      <c r="B44" s="439"/>
      <c r="C44" s="439"/>
      <c r="D44" s="439"/>
      <c r="E44" s="439"/>
      <c r="F44" s="439"/>
      <c r="G44" s="439"/>
      <c r="H44" s="439"/>
      <c r="I44" s="439"/>
      <c r="J44" s="440"/>
    </row>
    <row r="45" spans="1:10" s="2" customFormat="1" ht="13.5" customHeight="1">
      <c r="A45" s="441" t="s">
        <v>2429</v>
      </c>
      <c r="B45" s="441"/>
      <c r="C45" s="441"/>
      <c r="D45" s="441"/>
      <c r="E45" s="441"/>
      <c r="F45" s="441"/>
      <c r="G45" s="92">
        <v>35</v>
      </c>
      <c r="H45" s="124"/>
      <c r="I45" s="94"/>
      <c r="J45" s="94"/>
    </row>
    <row r="46" spans="1:10" s="2" customFormat="1" ht="13.5" customHeight="1">
      <c r="A46" s="403" t="s">
        <v>2430</v>
      </c>
      <c r="B46" s="403"/>
      <c r="C46" s="403"/>
      <c r="D46" s="403"/>
      <c r="E46" s="403"/>
      <c r="F46" s="403"/>
      <c r="G46" s="19">
        <v>36</v>
      </c>
      <c r="H46" s="23"/>
      <c r="I46" s="77"/>
      <c r="J46" s="77"/>
    </row>
    <row r="47" spans="1:10" s="2" customFormat="1" ht="13.5" customHeight="1">
      <c r="A47" s="403" t="s">
        <v>2431</v>
      </c>
      <c r="B47" s="403"/>
      <c r="C47" s="403"/>
      <c r="D47" s="403"/>
      <c r="E47" s="403"/>
      <c r="F47" s="403"/>
      <c r="G47" s="19">
        <v>37</v>
      </c>
      <c r="H47" s="23"/>
      <c r="I47" s="77"/>
      <c r="J47" s="77"/>
    </row>
    <row r="48" spans="1:10" s="2" customFormat="1" ht="13.5" customHeight="1">
      <c r="A48" s="403" t="s">
        <v>2432</v>
      </c>
      <c r="B48" s="403"/>
      <c r="C48" s="403"/>
      <c r="D48" s="403"/>
      <c r="E48" s="403"/>
      <c r="F48" s="403"/>
      <c r="G48" s="19">
        <v>38</v>
      </c>
      <c r="H48" s="23"/>
      <c r="I48" s="77"/>
      <c r="J48" s="77"/>
    </row>
    <row r="49" spans="1:10" s="2" customFormat="1" ht="13.5" customHeight="1">
      <c r="A49" s="406" t="s">
        <v>2521</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2911</v>
      </c>
      <c r="B54" s="403"/>
      <c r="C54" s="403"/>
      <c r="D54" s="403"/>
      <c r="E54" s="403"/>
      <c r="F54" s="403"/>
      <c r="G54" s="19">
        <v>44</v>
      </c>
      <c r="H54" s="23"/>
      <c r="I54" s="77"/>
      <c r="J54" s="77"/>
    </row>
    <row r="55" spans="1:10" s="2" customFormat="1" ht="13.5" customHeight="1">
      <c r="A55" s="406" t="s">
        <v>2912</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2427</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2428</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2594</v>
      </c>
      <c r="Q2" s="74">
        <f>IF(OR(MIN(I8:I52)&lt;0,MAX(I8:I52)&gt;0),1,0)</f>
        <v>0</v>
      </c>
      <c r="R2" s="73" t="s">
        <v>2585</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98014881436; TERRA MEDITERRANEA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2526</v>
      </c>
      <c r="B9" s="441"/>
      <c r="C9" s="441"/>
      <c r="D9" s="441"/>
      <c r="E9" s="441"/>
      <c r="F9" s="441"/>
      <c r="G9" s="92">
        <v>1</v>
      </c>
      <c r="H9" s="124"/>
      <c r="I9" s="94"/>
      <c r="J9" s="94"/>
    </row>
    <row r="10" spans="1:10" s="2" customFormat="1" ht="13.5" customHeight="1">
      <c r="A10" s="403" t="s">
        <v>2527</v>
      </c>
      <c r="B10" s="403"/>
      <c r="C10" s="403"/>
      <c r="D10" s="403"/>
      <c r="E10" s="403"/>
      <c r="F10" s="403"/>
      <c r="G10" s="19">
        <v>2</v>
      </c>
      <c r="H10" s="23"/>
      <c r="I10" s="77"/>
      <c r="J10" s="77"/>
    </row>
    <row r="11" spans="1:10" s="2" customFormat="1" ht="13.5" customHeight="1">
      <c r="A11" s="403" t="s">
        <v>2528</v>
      </c>
      <c r="B11" s="403"/>
      <c r="C11" s="403"/>
      <c r="D11" s="403"/>
      <c r="E11" s="403"/>
      <c r="F11" s="403"/>
      <c r="G11" s="19">
        <v>3</v>
      </c>
      <c r="H11" s="23"/>
      <c r="I11" s="77"/>
      <c r="J11" s="77"/>
    </row>
    <row r="12" spans="1:10" s="2" customFormat="1" ht="13.5" customHeight="1">
      <c r="A12" s="403" t="s">
        <v>2529</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2524</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2525</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2426</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2428</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2595</v>
      </c>
      <c r="Q2" s="470"/>
      <c r="R2" s="470"/>
      <c r="S2" s="470"/>
      <c r="T2" s="470"/>
      <c r="U2" s="470"/>
      <c r="V2" s="470"/>
      <c r="W2" s="471"/>
      <c r="X2" s="388" t="s">
        <v>2595</v>
      </c>
      <c r="AA2" s="3">
        <f>IF(OR(MAX(H10:X32)&lt;&gt;0,MIN(H10:X32)&lt;&gt;0),1,0)</f>
        <v>0</v>
      </c>
      <c r="AB2" s="3" t="s">
        <v>2597</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98014881436; TERRA MEDITERRANEA d.d.</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2893</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2598</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1</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2561</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2557</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2558</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2562</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2559</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2243</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2560</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MLM</cp:lastModifiedBy>
  <cp:lastPrinted>2021-02-11T10:24:51Z</cp:lastPrinted>
  <dcterms:created xsi:type="dcterms:W3CDTF">2008-10-17T11:51:54Z</dcterms:created>
  <dcterms:modified xsi:type="dcterms:W3CDTF">2021-02-11T10:25:26Z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